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y Documents\BRETTC\Health Insurance\OPEB - GASB 45\OPEB Committee\2021\"/>
    </mc:Choice>
  </mc:AlternateContent>
  <xr:revisionPtr revIDLastSave="0" documentId="14_{9EF63361-99A1-4B25-BB24-D51D5EE405E1}" xr6:coauthVersionLast="47" xr6:coauthVersionMax="47" xr10:uidLastSave="{00000000-0000-0000-0000-000000000000}"/>
  <bookViews>
    <workbookView xWindow="-108" yWindow="-108" windowWidth="23256" windowHeight="12576" activeTab="2" xr2:uid="{9165A597-E0CF-4DB9-91A7-FAC45B7A7307}"/>
  </bookViews>
  <sheets>
    <sheet name="2022 Bal Sht" sheetId="1" r:id="rId1"/>
    <sheet name="2021 Sum" sheetId="2" r:id="rId2"/>
    <sheet name="Hist Mtg" sheetId="7" r:id="rId3"/>
    <sheet name="2021 Bal Sht" sheetId="6" r:id="rId4"/>
    <sheet name="103055 Piv" sheetId="5" r:id="rId5"/>
    <sheet name="103055Q" sheetId="3" r:id="rId6"/>
  </sheet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7" l="1"/>
  <c r="S36" i="1"/>
  <c r="J32" i="7" l="1"/>
  <c r="C28" i="7"/>
  <c r="D24" i="7"/>
  <c r="E24" i="7" s="1"/>
  <c r="F24" i="7" s="1"/>
  <c r="D28" i="7"/>
  <c r="C53" i="7"/>
  <c r="E30" i="7"/>
  <c r="F29" i="7"/>
  <c r="E29" i="7"/>
  <c r="C29" i="7"/>
  <c r="F28" i="7"/>
  <c r="E28" i="7"/>
  <c r="I23" i="7"/>
  <c r="I28" i="7" s="1"/>
  <c r="H23" i="7"/>
  <c r="H28" i="7" s="1"/>
  <c r="G23" i="7"/>
  <c r="G28" i="7" s="1"/>
  <c r="I10" i="7"/>
  <c r="I14" i="7" s="1"/>
  <c r="G10" i="7"/>
  <c r="G14" i="7" s="1"/>
  <c r="C10" i="7"/>
  <c r="H8" i="7"/>
  <c r="H10" i="7" s="1"/>
  <c r="H14" i="7" s="1"/>
  <c r="F8" i="7"/>
  <c r="F10" i="7" s="1"/>
  <c r="F14" i="7" s="1"/>
  <c r="E8" i="7"/>
  <c r="E10" i="7" s="1"/>
  <c r="E14" i="7" s="1"/>
  <c r="D8" i="7"/>
  <c r="D10" i="7" s="1"/>
  <c r="D14" i="7" s="1"/>
  <c r="J7" i="7"/>
  <c r="E61" i="2"/>
  <c r="E57" i="2"/>
  <c r="S38" i="6"/>
  <c r="S38" i="1"/>
  <c r="S40" i="1" s="1"/>
  <c r="T40" i="1" s="1"/>
  <c r="I14" i="5"/>
  <c r="I21" i="5"/>
  <c r="I6" i="5"/>
  <c r="H26" i="5"/>
  <c r="C32" i="7" l="1"/>
  <c r="C18" i="7"/>
  <c r="D18" i="7" s="1"/>
  <c r="C14" i="7"/>
  <c r="G24" i="7"/>
  <c r="H24" i="7" s="1"/>
  <c r="I24" i="7" s="1"/>
  <c r="J8" i="7"/>
  <c r="J10" i="7" s="1"/>
  <c r="E50" i="2"/>
  <c r="E59" i="2"/>
  <c r="E55" i="2"/>
  <c r="E19" i="2"/>
  <c r="K11" i="2"/>
  <c r="C35" i="7" l="1"/>
  <c r="C37" i="7" s="1"/>
  <c r="E18" i="7"/>
  <c r="D27" i="7"/>
  <c r="D32" i="7" s="1"/>
  <c r="E27" i="7" s="1"/>
  <c r="E32" i="7" s="1"/>
  <c r="F27" i="7" s="1"/>
  <c r="F32" i="7" s="1"/>
  <c r="G27" i="7" s="1"/>
  <c r="G32" i="7" s="1"/>
  <c r="H27" i="7" s="1"/>
  <c r="H32" i="7" s="1"/>
  <c r="I27" i="7" s="1"/>
  <c r="E53" i="2"/>
  <c r="D35" i="7" l="1"/>
  <c r="D37" i="7" s="1"/>
  <c r="F18" i="7"/>
  <c r="E35" i="7"/>
  <c r="E37" i="7" s="1"/>
  <c r="I32" i="7"/>
  <c r="T16" i="1" s="1"/>
  <c r="T17" i="1" s="1"/>
  <c r="E65" i="2"/>
  <c r="G18" i="7" l="1"/>
  <c r="F35" i="7"/>
  <c r="F37" i="7" s="1"/>
  <c r="H18" i="7" l="1"/>
  <c r="I18" i="7" s="1"/>
  <c r="J33" i="7" s="1"/>
  <c r="G35" i="7"/>
  <c r="G37" i="7" s="1"/>
  <c r="J35" i="7" l="1"/>
  <c r="I35" i="7"/>
  <c r="I37" i="7" s="1"/>
  <c r="H35" i="7"/>
  <c r="H3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Brett R. Carlson</author>
  </authors>
  <commentList>
    <comment ref="F7" authorId="0" shapeId="0" xr:uid="{F8821D44-B3F8-441C-8AF7-C52116DF5F9E}">
      <text>
        <r>
          <rPr>
            <b/>
            <sz val="9"/>
            <color indexed="81"/>
            <rFont val="Tahoma"/>
            <charset val="1"/>
          </rPr>
          <t>Brett R. Carlson:</t>
        </r>
        <r>
          <rPr>
            <sz val="9"/>
            <color indexed="81"/>
            <rFont val="Tahoma"/>
            <charset val="1"/>
          </rPr>
          <t xml:space="preserve">
Includes investment loss of $215,560.78 and negative interest correction of $57,507.11</t>
        </r>
      </text>
    </comment>
  </commentList>
</comments>
</file>

<file path=xl/sharedStrings.xml><?xml version="1.0" encoding="utf-8"?>
<sst xmlns="http://schemas.openxmlformats.org/spreadsheetml/2006/main" count="410" uniqueCount="197">
  <si>
    <t>Salt Lake County</t>
  </si>
  <si>
    <t>OPEB Trust Fund (Fund 995 Department 5308000000) Comparison of Revenues and Expenditures</t>
  </si>
  <si>
    <r>
      <t xml:space="preserve">FINAL December 31, 2021 </t>
    </r>
    <r>
      <rPr>
        <sz val="10"/>
        <rFont val="Arial Unicode MS"/>
        <family val="2"/>
      </rPr>
      <t>(run date: 3/11/2022)</t>
    </r>
  </si>
  <si>
    <t>Revenues</t>
  </si>
  <si>
    <t>Fund</t>
  </si>
  <si>
    <t>Dept</t>
  </si>
  <si>
    <t>Account</t>
  </si>
  <si>
    <t>Descr</t>
  </si>
  <si>
    <t>Total</t>
  </si>
  <si>
    <t>995</t>
  </si>
  <si>
    <t>5308000000</t>
  </si>
  <si>
    <t>421005</t>
  </si>
  <si>
    <t>Departmental Fees</t>
  </si>
  <si>
    <t>OPEB Charge</t>
  </si>
  <si>
    <t>429005</t>
  </si>
  <si>
    <t>Interest - Time Deposits</t>
  </si>
  <si>
    <t>429015</t>
  </si>
  <si>
    <t>Interest-Miscellaneous</t>
  </si>
  <si>
    <t>429045</t>
  </si>
  <si>
    <t>Change in Fair Value of Invmnt</t>
  </si>
  <si>
    <t>Investment gains in 2021 (JV: OPEB-INVES)</t>
  </si>
  <si>
    <t>431160</t>
  </si>
  <si>
    <t>Interfund Revenue</t>
  </si>
  <si>
    <t>437090</t>
  </si>
  <si>
    <t>Ret Ins - Selecthlth Ret</t>
  </si>
  <si>
    <t>437095</t>
  </si>
  <si>
    <t>Ret Ins - Selecthlth HDHP Ret</t>
  </si>
  <si>
    <t>437111</t>
  </si>
  <si>
    <t>Ret ins-Cigna Dental Retiree</t>
  </si>
  <si>
    <t>437215</t>
  </si>
  <si>
    <t>Ret Ins-Pehp Sumt Retiree</t>
  </si>
  <si>
    <t>437225</t>
  </si>
  <si>
    <t>Ret Ins - Pehp HDHP Sum</t>
  </si>
  <si>
    <t>Grand Total</t>
  </si>
  <si>
    <t>Expenditures</t>
  </si>
  <si>
    <t>639025</t>
  </si>
  <si>
    <t>Other Professional Fees</t>
  </si>
  <si>
    <t>655036</t>
  </si>
  <si>
    <t>Ret Ins - Life Insurance</t>
  </si>
  <si>
    <t>655045</t>
  </si>
  <si>
    <t>Ret Ins - Pehp Medicare Supp</t>
  </si>
  <si>
    <t>655055</t>
  </si>
  <si>
    <t>Emp Ins-Insurance Refunds</t>
  </si>
  <si>
    <t>655080</t>
  </si>
  <si>
    <t>Ret Ins- PEHP Summit Clms</t>
  </si>
  <si>
    <t>655081</t>
  </si>
  <si>
    <t>Ret Ins- PEHP Summit Adm</t>
  </si>
  <si>
    <t>655082</t>
  </si>
  <si>
    <t>Ret Ins- PEHP Summit Rein</t>
  </si>
  <si>
    <t>655115</t>
  </si>
  <si>
    <t>Ret Ins-PEHP Sum HDHP Clms</t>
  </si>
  <si>
    <t>655116</t>
  </si>
  <si>
    <t>Ret Ins-PEHP Sum HDHP Adm</t>
  </si>
  <si>
    <t>655117</t>
  </si>
  <si>
    <t>Ret Ins-PEHP Sum HDHP Rein</t>
  </si>
  <si>
    <t>655225</t>
  </si>
  <si>
    <t>Ret Ins - Select HDHP Claims</t>
  </si>
  <si>
    <t>655230</t>
  </si>
  <si>
    <t>Ret Ins - Select HDHP Admin</t>
  </si>
  <si>
    <t>655235</t>
  </si>
  <si>
    <t>Ret Ins - Select HDHP Reinsur</t>
  </si>
  <si>
    <t>655255</t>
  </si>
  <si>
    <t>Ret Ins - Select Claims</t>
  </si>
  <si>
    <t>655260</t>
  </si>
  <si>
    <t>Ret Ins - Select Admin</t>
  </si>
  <si>
    <t>655265</t>
  </si>
  <si>
    <t>Ret Ins - Select Reinsurance</t>
  </si>
  <si>
    <t>655281</t>
  </si>
  <si>
    <t>Ret Ins-Cigna Dental Claims</t>
  </si>
  <si>
    <t>655282</t>
  </si>
  <si>
    <t>Ret Ins-Cigna Dental Admin</t>
  </si>
  <si>
    <t>663010</t>
  </si>
  <si>
    <t>Council Overhead Cost</t>
  </si>
  <si>
    <t>663015</t>
  </si>
  <si>
    <t>Mayor Overhead Cost</t>
  </si>
  <si>
    <t>663025</t>
  </si>
  <si>
    <t>Auditor Overhead Cost</t>
  </si>
  <si>
    <t>663040</t>
  </si>
  <si>
    <t>Info Services Overhead Cost</t>
  </si>
  <si>
    <t>663045</t>
  </si>
  <si>
    <t>Purchasing Overhead Cost</t>
  </si>
  <si>
    <t>663070</t>
  </si>
  <si>
    <t>Mayor Finance Overhead Cost</t>
  </si>
  <si>
    <t>Revenues (Over) / Under Expenditures</t>
  </si>
  <si>
    <r>
      <t xml:space="preserve">Revenues (Over) / Under Expenditures </t>
    </r>
    <r>
      <rPr>
        <sz val="10"/>
        <rFont val="Arial Unicode MS"/>
        <family val="2"/>
      </rPr>
      <t>(Without Investment Gains)</t>
    </r>
  </si>
  <si>
    <t>Fund Level Detail Transactions</t>
  </si>
  <si>
    <t xml:space="preserve"> 24</t>
  </si>
  <si>
    <t>Date</t>
  </si>
  <si>
    <t>Journal ID</t>
  </si>
  <si>
    <t>Year</t>
  </si>
  <si>
    <t>Bud Ref</t>
  </si>
  <si>
    <t>FundDescr</t>
  </si>
  <si>
    <t>Agency</t>
  </si>
  <si>
    <t>DeptDescr</t>
  </si>
  <si>
    <t>AccountDescr</t>
  </si>
  <si>
    <t>Program</t>
  </si>
  <si>
    <t>Program Descr</t>
  </si>
  <si>
    <t>Fund Source</t>
  </si>
  <si>
    <t>PC Bus Unit</t>
  </si>
  <si>
    <t>Project</t>
  </si>
  <si>
    <t>Activity</t>
  </si>
  <si>
    <t>An Type</t>
  </si>
  <si>
    <t>Ref</t>
  </si>
  <si>
    <t>Line Descr</t>
  </si>
  <si>
    <t>Amount</t>
  </si>
  <si>
    <t>Period</t>
  </si>
  <si>
    <t>CLO0042299</t>
  </si>
  <si>
    <t>OPEB Trust Fund</t>
  </si>
  <si>
    <t>103055</t>
  </si>
  <si>
    <t>Cash-HeldByTrustee-OPEB Invest</t>
  </si>
  <si>
    <t>2015</t>
  </si>
  <si>
    <t>2016</t>
  </si>
  <si>
    <t>2017</t>
  </si>
  <si>
    <t>2018</t>
  </si>
  <si>
    <t>2019</t>
  </si>
  <si>
    <t>2020</t>
  </si>
  <si>
    <t>050</t>
  </si>
  <si>
    <t>OPEB Administration</t>
  </si>
  <si>
    <t>0000039916</t>
  </si>
  <si>
    <t>2021</t>
  </si>
  <si>
    <t>OPEB TRUST</t>
  </si>
  <si>
    <t>0000040501</t>
  </si>
  <si>
    <t>0000041065</t>
  </si>
  <si>
    <t>0000041428</t>
  </si>
  <si>
    <t>0000041781</t>
  </si>
  <si>
    <t>OPEB-TRANS</t>
  </si>
  <si>
    <t>OPEB Trans to Moreton Invest</t>
  </si>
  <si>
    <t>0000042129</t>
  </si>
  <si>
    <t>0000042530</t>
  </si>
  <si>
    <t>0000042922</t>
  </si>
  <si>
    <t>0000043306</t>
  </si>
  <si>
    <t>0000043464</t>
  </si>
  <si>
    <t>0000043719</t>
  </si>
  <si>
    <t>0000044112</t>
  </si>
  <si>
    <t>0000044534</t>
  </si>
  <si>
    <t>OPEB-INVES</t>
  </si>
  <si>
    <t>Update FV of OPEB Investments</t>
  </si>
  <si>
    <t>(blank)</t>
  </si>
  <si>
    <t>995 Total</t>
  </si>
  <si>
    <t>1-Jan</t>
  </si>
  <si>
    <t>31-Jan</t>
  </si>
  <si>
    <t>28-Feb</t>
  </si>
  <si>
    <t>1-Apr</t>
  </si>
  <si>
    <t>30-Apr</t>
  </si>
  <si>
    <t>31-May</t>
  </si>
  <si>
    <t>30-Jun</t>
  </si>
  <si>
    <t>10-Jul</t>
  </si>
  <si>
    <t>31-Jul</t>
  </si>
  <si>
    <t>1-Sep</t>
  </si>
  <si>
    <t>30-Sep</t>
  </si>
  <si>
    <t>1-Oct</t>
  </si>
  <si>
    <t>31-Oct</t>
  </si>
  <si>
    <t>30-Nov</t>
  </si>
  <si>
    <t>31-Dec</t>
  </si>
  <si>
    <t>Sum of Amount</t>
  </si>
  <si>
    <t>Amount Available to Transfer</t>
  </si>
  <si>
    <t>Minimum on County Books</t>
  </si>
  <si>
    <t>Interest - Misc: Transferred by Tresurer to Moreton</t>
  </si>
  <si>
    <t>Change in Fair Value of Investment (Already at Moreton)</t>
  </si>
  <si>
    <t>Amount on County Books</t>
  </si>
  <si>
    <t>Amount at Moreton</t>
  </si>
  <si>
    <t>Interest Moved to Moreton by Treasurer</t>
  </si>
  <si>
    <t>x</t>
  </si>
  <si>
    <t>Year End 2021</t>
  </si>
  <si>
    <t>x = matches GL</t>
  </si>
  <si>
    <t>Salt Lake County OPEB Trust Financial History</t>
  </si>
  <si>
    <t>OPEB Trust Fund created in 4-21-2015</t>
  </si>
  <si>
    <t>Type</t>
  </si>
  <si>
    <t>Start-up County Funding</t>
  </si>
  <si>
    <t>Total Year End Fund Balance</t>
  </si>
  <si>
    <t>matches bal sht at County</t>
  </si>
  <si>
    <t>Transfers to Morton by Year</t>
  </si>
  <si>
    <t>Transfers to Moreton (Cumulative)</t>
  </si>
  <si>
    <t>Starting Balance</t>
  </si>
  <si>
    <t>Net Income (Gain) / Loss</t>
  </si>
  <si>
    <t>Change Unrealized (Gain) / Loss</t>
  </si>
  <si>
    <t>Transfers to Moreton</t>
  </si>
  <si>
    <t>Cash</t>
  </si>
  <si>
    <t>From Moreton website</t>
  </si>
  <si>
    <t>Transfers</t>
  </si>
  <si>
    <t>GAAP, Transaction Detail, click on Transaction Type, go to Cash Transfers</t>
  </si>
  <si>
    <t>Investment Gains at Moreton</t>
  </si>
  <si>
    <t>(Gains ) / Loss</t>
  </si>
  <si>
    <t>General Ledger, Financials</t>
  </si>
  <si>
    <t>Transfers to Morton</t>
  </si>
  <si>
    <t>Interest</t>
  </si>
  <si>
    <t>matches Morton website</t>
  </si>
  <si>
    <t>MSD</t>
  </si>
  <si>
    <t>Total OPEB Trust Fund Balance</t>
  </si>
  <si>
    <t>Total Fund Balance at Moreton</t>
  </si>
  <si>
    <t>Revenue (Over) / Under Expenditures</t>
  </si>
  <si>
    <t>Fund Balance Remaining on County</t>
  </si>
  <si>
    <t>Books - Not Transferred to Moreton</t>
  </si>
  <si>
    <t>Investment Change</t>
  </si>
  <si>
    <t>Adusted Revenue / Expenditures</t>
  </si>
  <si>
    <t>in Fund 995 (OPEB Trust)</t>
  </si>
  <si>
    <t>(Available to Transfer to Moreton)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</si>
</sst>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theme="1"/>
      <name val="Arial Unicode MS"/>
      <family val="2"/>
    </font>
    <font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3" fontId="0" fillId="0" borderId="0" xfId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1" xfId="0" applyFont="1" applyBorder="1"/>
    <xf numFmtId="43" fontId="5" fillId="0" borderId="1" xfId="1" applyFont="1" applyBorder="1"/>
    <xf numFmtId="0" fontId="5" fillId="0" borderId="2" xfId="0" applyFont="1" applyBorder="1"/>
    <xf numFmtId="43" fontId="5" fillId="0" borderId="2" xfId="1" applyFont="1" applyBorder="1" applyAlignment="1">
      <alignment horizontal="right"/>
    </xf>
    <xf numFmtId="43" fontId="0" fillId="2" borderId="0" xfId="1" applyFont="1" applyFill="1"/>
    <xf numFmtId="0" fontId="0" fillId="2" borderId="0" xfId="0" applyFill="1"/>
    <xf numFmtId="43" fontId="0" fillId="3" borderId="0" xfId="1" applyFont="1" applyFill="1"/>
    <xf numFmtId="0" fontId="0" fillId="3" borderId="0" xfId="0" applyFill="1"/>
    <xf numFmtId="0" fontId="5" fillId="0" borderId="3" xfId="0" applyFont="1" applyBorder="1"/>
    <xf numFmtId="43" fontId="5" fillId="0" borderId="3" xfId="1" applyFont="1" applyBorder="1"/>
    <xf numFmtId="0" fontId="0" fillId="0" borderId="3" xfId="0" applyBorder="1"/>
    <xf numFmtId="43" fontId="0" fillId="0" borderId="3" xfId="1" applyFont="1" applyBorder="1"/>
    <xf numFmtId="0" fontId="3" fillId="0" borderId="0" xfId="0" applyFont="1"/>
    <xf numFmtId="43" fontId="3" fillId="0" borderId="0" xfId="1" applyFont="1" applyFill="1" applyBorder="1"/>
    <xf numFmtId="43" fontId="0" fillId="0" borderId="0" xfId="1" applyFont="1" applyFill="1"/>
    <xf numFmtId="0" fontId="6" fillId="4" borderId="4" xfId="0" applyFont="1" applyFill="1" applyBorder="1"/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0" xfId="0" pivotButton="1"/>
    <xf numFmtId="43" fontId="0" fillId="5" borderId="0" xfId="1" applyFont="1" applyFill="1"/>
    <xf numFmtId="43" fontId="0" fillId="0" borderId="0" xfId="0" applyNumberFormat="1"/>
    <xf numFmtId="43" fontId="0" fillId="5" borderId="0" xfId="0" applyNumberFormat="1" applyFill="1"/>
    <xf numFmtId="0" fontId="7" fillId="6" borderId="3" xfId="0" applyFont="1" applyFill="1" applyBorder="1"/>
    <xf numFmtId="43" fontId="7" fillId="6" borderId="3" xfId="1" applyFont="1" applyFill="1" applyBorder="1"/>
    <xf numFmtId="43" fontId="0" fillId="7" borderId="0" xfId="1" applyFont="1" applyFill="1"/>
    <xf numFmtId="0" fontId="3" fillId="6" borderId="3" xfId="0" applyFont="1" applyFill="1" applyBorder="1"/>
    <xf numFmtId="43" fontId="3" fillId="6" borderId="3" xfId="1" applyFont="1" applyFill="1" applyBorder="1"/>
    <xf numFmtId="43" fontId="8" fillId="0" borderId="0" xfId="1" applyFont="1"/>
    <xf numFmtId="0" fontId="0" fillId="0" borderId="0" xfId="0" applyAlignment="1">
      <alignment horizontal="left"/>
    </xf>
    <xf numFmtId="0" fontId="0" fillId="5" borderId="0" xfId="0" applyFill="1"/>
    <xf numFmtId="43" fontId="0" fillId="0" borderId="0" xfId="1" applyFont="1" applyAlignment="1">
      <alignment horizontal="right"/>
    </xf>
    <xf numFmtId="0" fontId="11" fillId="0" borderId="0" xfId="0" applyFont="1"/>
    <xf numFmtId="0" fontId="9" fillId="0" borderId="0" xfId="0" applyFont="1"/>
    <xf numFmtId="43" fontId="12" fillId="0" borderId="0" xfId="1" applyFont="1"/>
    <xf numFmtId="43" fontId="9" fillId="0" borderId="0" xfId="1" applyFont="1"/>
    <xf numFmtId="0" fontId="12" fillId="0" borderId="0" xfId="0" applyFont="1"/>
    <xf numFmtId="43" fontId="10" fillId="0" borderId="0" xfId="1" applyFont="1" applyFill="1"/>
    <xf numFmtId="43" fontId="0" fillId="0" borderId="5" xfId="1" applyFont="1" applyBorder="1"/>
    <xf numFmtId="43" fontId="10" fillId="0" borderId="0" xfId="1" applyFont="1"/>
    <xf numFmtId="0" fontId="0" fillId="0" borderId="6" xfId="0" applyBorder="1"/>
    <xf numFmtId="43" fontId="0" fillId="0" borderId="1" xfId="1" applyFont="1" applyBorder="1" applyAlignment="1">
      <alignment horizontal="right"/>
    </xf>
    <xf numFmtId="43" fontId="0" fillId="0" borderId="1" xfId="1" applyFont="1" applyBorder="1"/>
    <xf numFmtId="43" fontId="0" fillId="0" borderId="7" xfId="1" applyFont="1" applyBorder="1"/>
    <xf numFmtId="0" fontId="0" fillId="0" borderId="8" xfId="0" applyBorder="1"/>
    <xf numFmtId="43" fontId="0" fillId="0" borderId="5" xfId="1" applyFont="1" applyBorder="1" applyAlignment="1">
      <alignment horizontal="right"/>
    </xf>
    <xf numFmtId="43" fontId="0" fillId="0" borderId="9" xfId="1" applyFont="1" applyBorder="1"/>
    <xf numFmtId="14" fontId="0" fillId="0" borderId="0" xfId="0" applyNumberFormat="1" applyAlignment="1">
      <alignment horizontal="left"/>
    </xf>
    <xf numFmtId="43" fontId="0" fillId="0" borderId="0" xfId="1" applyFont="1" applyBorder="1"/>
    <xf numFmtId="43" fontId="1" fillId="0" borderId="5" xfId="1" applyFont="1" applyBorder="1"/>
    <xf numFmtId="43" fontId="0" fillId="0" borderId="0" xfId="0" applyNumberFormat="1" applyFont="1"/>
    <xf numFmtId="43" fontId="1" fillId="0" borderId="0" xfId="1" applyFont="1"/>
    <xf numFmtId="0" fontId="0" fillId="0" borderId="0" xfId="0" applyFont="1"/>
    <xf numFmtId="0" fontId="12" fillId="0" borderId="0" xfId="0" applyFont="1" applyBorder="1"/>
    <xf numFmtId="43" fontId="1" fillId="0" borderId="0" xfId="1" applyFont="1" applyBorder="1"/>
    <xf numFmtId="43" fontId="0" fillId="0" borderId="0" xfId="0" applyNumberFormat="1" applyFont="1" applyBorder="1"/>
    <xf numFmtId="0" fontId="10" fillId="0" borderId="0" xfId="0" applyFont="1"/>
    <xf numFmtId="43" fontId="1" fillId="0" borderId="0" xfId="1" applyFont="1" applyFill="1"/>
    <xf numFmtId="0" fontId="10" fillId="0" borderId="1" xfId="1" applyNumberFormat="1" applyFont="1" applyBorder="1" applyAlignment="1">
      <alignment horizontal="left"/>
    </xf>
    <xf numFmtId="0" fontId="0" fillId="0" borderId="5" xfId="0" applyBorder="1"/>
    <xf numFmtId="0" fontId="10" fillId="0" borderId="1" xfId="1" applyNumberFormat="1" applyFont="1" applyBorder="1"/>
    <xf numFmtId="0" fontId="0" fillId="0" borderId="5" xfId="1" applyNumberFormat="1" applyFont="1" applyBorder="1"/>
    <xf numFmtId="0" fontId="10" fillId="0" borderId="0" xfId="0" applyFont="1" applyFill="1"/>
    <xf numFmtId="0" fontId="12" fillId="0" borderId="5" xfId="0" applyFont="1" applyBorder="1"/>
    <xf numFmtId="0" fontId="10" fillId="8" borderId="3" xfId="0" applyFont="1" applyFill="1" applyBorder="1"/>
    <xf numFmtId="0" fontId="10" fillId="8" borderId="3" xfId="0" applyFont="1" applyFill="1" applyBorder="1" applyAlignment="1">
      <alignment horizontal="right"/>
    </xf>
    <xf numFmtId="43" fontId="1" fillId="0" borderId="5" xfId="0" applyNumberFormat="1" applyFont="1" applyBorder="1"/>
    <xf numFmtId="43" fontId="0" fillId="0" borderId="5" xfId="1" applyFont="1" applyFill="1" applyBorder="1"/>
    <xf numFmtId="0" fontId="0" fillId="0" borderId="5" xfId="0" applyFont="1" applyBorder="1"/>
    <xf numFmtId="0" fontId="0" fillId="0" borderId="0" xfId="0" applyFont="1" applyFill="1" applyBorder="1"/>
    <xf numFmtId="0" fontId="10" fillId="7" borderId="0" xfId="0" applyFont="1" applyFill="1"/>
    <xf numFmtId="43" fontId="10" fillId="7" borderId="0" xfId="1" applyFont="1" applyFill="1"/>
    <xf numFmtId="0" fontId="11" fillId="2" borderId="0" xfId="0" applyFont="1" applyFill="1"/>
    <xf numFmtId="43" fontId="10" fillId="2" borderId="0" xfId="1" applyFont="1" applyFill="1"/>
  </cellXfs>
  <cellStyles count="2">
    <cellStyle name="Comma" xfId="1" builtinId="3"/>
    <cellStyle name="Normal" xfId="0" builtinId="0"/>
  </cellStyles>
  <dxfs count="8">
    <dxf>
      <fill>
        <patternFill patternType="solid">
          <bgColor theme="7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265448</xdr:colOff>
      <xdr:row>40</xdr:row>
      <xdr:rowOff>6725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CD6B8-9C70-474A-8BF8-4FB7FE049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10019048" cy="71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341638</xdr:colOff>
      <xdr:row>40</xdr:row>
      <xdr:rowOff>48632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DB50E5-10AC-4393-B6E2-1B08C734B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10095238" cy="718095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tt R. Carlson" refreshedDate="44670.597996296296" createdVersion="7" refreshedVersion="7" minRefreshableVersion="3" recordCount="24" xr:uid="{7E2EAB85-B1AD-414B-A6E9-4EA1AEFAB92E}">
  <cacheSource type="worksheet">
    <worksheetSource ref="A2:V26" sheet="103055Q"/>
  </cacheSource>
  <cacheFields count="23">
    <cacheField name="Date" numFmtId="14">
      <sharedItems containsSemiMixedTypes="0" containsNonDate="0" containsDate="1" containsString="0" minDate="2021-01-01T00:00:00" maxDate="2022-01-01T00:00:00" count="15">
        <d v="2021-01-01T00:00:00"/>
        <d v="2021-01-31T00:00:00"/>
        <d v="2021-02-28T00:00:00"/>
        <d v="2021-04-01T00:00:00"/>
        <d v="2021-04-30T00:00:00"/>
        <d v="2021-05-31T00:00:00"/>
        <d v="2021-06-30T00:00:00"/>
        <d v="2021-07-10T00:00:00"/>
        <d v="2021-07-31T00:00:00"/>
        <d v="2021-09-01T00:00:00"/>
        <d v="2021-09-30T00:00:00"/>
        <d v="2021-10-01T00:00:00"/>
        <d v="2021-10-31T00:00:00"/>
        <d v="2021-11-30T00:00:00"/>
        <d v="2021-12-31T00:00:00"/>
      </sharedItems>
      <fieldGroup par="22" base="0">
        <rangePr groupBy="days" startDate="2021-01-01T00:00:00" endDate="2022-01-01T00:00:00"/>
        <groupItems count="368">
          <s v="&lt;1/1/2021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22"/>
        </groupItems>
      </fieldGroup>
    </cacheField>
    <cacheField name="Journal ID" numFmtId="0">
      <sharedItems count="16">
        <s v="CLO0042299"/>
        <s v="0000039916"/>
        <s v="0000040501"/>
        <s v="0000041065"/>
        <s v="0000041428"/>
        <s v="0000041781"/>
        <s v="OPEB-TRANS"/>
        <s v="0000042129"/>
        <s v="0000042530"/>
        <s v="0000042922"/>
        <s v="0000043306"/>
        <s v="0000043464"/>
        <s v="0000043719"/>
        <s v="0000044112"/>
        <s v="0000044534"/>
        <s v="OPEB-INVES"/>
      </sharedItems>
    </cacheField>
    <cacheField name="Year" numFmtId="1">
      <sharedItems containsSemiMixedTypes="0" containsString="0" containsNumber="1" containsInteger="1" minValue="2021" maxValue="2021"/>
    </cacheField>
    <cacheField name="Bud Ref" numFmtId="0">
      <sharedItems containsBlank="1"/>
    </cacheField>
    <cacheField name="Fund" numFmtId="0">
      <sharedItems count="1">
        <s v="995"/>
      </sharedItems>
    </cacheField>
    <cacheField name="FundDescr" numFmtId="0">
      <sharedItems/>
    </cacheField>
    <cacheField name="Agency" numFmtId="0">
      <sharedItems containsBlank="1"/>
    </cacheField>
    <cacheField name="Dept" numFmtId="0">
      <sharedItems containsBlank="1" count="2">
        <m/>
        <s v="5308000000"/>
      </sharedItems>
    </cacheField>
    <cacheField name="DeptDescr" numFmtId="0">
      <sharedItems containsBlank="1" count="2">
        <m/>
        <s v="OPEB Administration"/>
      </sharedItems>
    </cacheField>
    <cacheField name="Account" numFmtId="0">
      <sharedItems count="1">
        <s v="103055"/>
      </sharedItems>
    </cacheField>
    <cacheField name="AccountDescr" numFmtId="0">
      <sharedItems count="1">
        <s v="Cash-HeldByTrustee-OPEB Invest"/>
      </sharedItems>
    </cacheField>
    <cacheField name="Program" numFmtId="0">
      <sharedItems containsNonDate="0" containsString="0" containsBlank="1"/>
    </cacheField>
    <cacheField name="Program Descr" numFmtId="0">
      <sharedItems containsNonDate="0" containsString="0" containsBlank="1"/>
    </cacheField>
    <cacheField name="Fund Source" numFmtId="0">
      <sharedItems containsNonDate="0" containsString="0" containsBlank="1"/>
    </cacheField>
    <cacheField name="PC Bus Unit" numFmtId="0">
      <sharedItems containsNonDate="0" containsString="0" containsBlank="1"/>
    </cacheField>
    <cacheField name="Project" numFmtId="0">
      <sharedItems containsNonDate="0" containsString="0" containsBlank="1"/>
    </cacheField>
    <cacheField name="Activity" numFmtId="0">
      <sharedItems containsNonDate="0" containsString="0" containsBlank="1"/>
    </cacheField>
    <cacheField name="An Type" numFmtId="0">
      <sharedItems containsNonDate="0" containsString="0" containsBlank="1"/>
    </cacheField>
    <cacheField name="Ref" numFmtId="0">
      <sharedItems containsNonDate="0" containsString="0" containsBlank="1"/>
    </cacheField>
    <cacheField name="Line Descr" numFmtId="0">
      <sharedItems count="4">
        <s v="Cash-HeldByTrustee-OPEB Invest"/>
        <s v="OPEB TRUST"/>
        <s v="OPEB Trans to Moreton Invest"/>
        <s v="Update FV of OPEB Investments"/>
      </sharedItems>
    </cacheField>
    <cacheField name="Amount" numFmtId="164">
      <sharedItems containsSemiMixedTypes="0" containsString="0" containsNumber="1" minValue="-853.91" maxValue="3759382"/>
    </cacheField>
    <cacheField name="Period" numFmtId="1">
      <sharedItems containsSemiMixedTypes="0" containsString="0" containsNumber="1" containsInteger="1" minValue="0" maxValue="12"/>
    </cacheField>
    <cacheField name="Months" numFmtId="0" databaseField="0">
      <fieldGroup base="0">
        <rangePr groupBy="months" startDate="2021-01-01T00:00:00" endDate="2022-01-01T00:00:00"/>
        <groupItems count="14">
          <s v="&lt;1/1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n v="2021"/>
    <m/>
    <x v="0"/>
    <s v="OPEB Trust Fund"/>
    <m/>
    <x v="0"/>
    <x v="0"/>
    <x v="0"/>
    <x v="0"/>
    <m/>
    <m/>
    <m/>
    <m/>
    <m/>
    <m/>
    <m/>
    <m/>
    <x v="0"/>
    <n v="709092.25"/>
    <n v="0"/>
  </r>
  <r>
    <x v="0"/>
    <x v="0"/>
    <n v="2021"/>
    <s v="2015"/>
    <x v="0"/>
    <s v="OPEB Trust Fund"/>
    <m/>
    <x v="0"/>
    <x v="0"/>
    <x v="0"/>
    <x v="0"/>
    <m/>
    <m/>
    <m/>
    <m/>
    <m/>
    <m/>
    <m/>
    <m/>
    <x v="0"/>
    <n v="3759382"/>
    <n v="0"/>
  </r>
  <r>
    <x v="0"/>
    <x v="0"/>
    <n v="2021"/>
    <s v="2016"/>
    <x v="0"/>
    <s v="OPEB Trust Fund"/>
    <m/>
    <x v="0"/>
    <x v="0"/>
    <x v="0"/>
    <x v="0"/>
    <m/>
    <m/>
    <m/>
    <m/>
    <m/>
    <m/>
    <m/>
    <m/>
    <x v="0"/>
    <n v="296429.83"/>
    <n v="0"/>
  </r>
  <r>
    <x v="0"/>
    <x v="0"/>
    <n v="2021"/>
    <s v="2017"/>
    <x v="0"/>
    <s v="OPEB Trust Fund"/>
    <m/>
    <x v="0"/>
    <x v="0"/>
    <x v="0"/>
    <x v="0"/>
    <m/>
    <m/>
    <m/>
    <m/>
    <m/>
    <m/>
    <m/>
    <m/>
    <x v="0"/>
    <n v="1034680.1"/>
    <n v="0"/>
  </r>
  <r>
    <x v="0"/>
    <x v="0"/>
    <n v="2021"/>
    <s v="2018"/>
    <x v="0"/>
    <s v="OPEB Trust Fund"/>
    <m/>
    <x v="0"/>
    <x v="0"/>
    <x v="0"/>
    <x v="0"/>
    <m/>
    <m/>
    <m/>
    <m/>
    <m/>
    <m/>
    <m/>
    <m/>
    <x v="0"/>
    <n v="281376.21999999997"/>
    <n v="0"/>
  </r>
  <r>
    <x v="0"/>
    <x v="0"/>
    <n v="2021"/>
    <s v="2019"/>
    <x v="0"/>
    <s v="OPEB Trust Fund"/>
    <m/>
    <x v="0"/>
    <x v="0"/>
    <x v="0"/>
    <x v="0"/>
    <m/>
    <m/>
    <m/>
    <m/>
    <m/>
    <m/>
    <m/>
    <m/>
    <x v="0"/>
    <n v="2042088.17"/>
    <n v="0"/>
  </r>
  <r>
    <x v="0"/>
    <x v="0"/>
    <n v="2021"/>
    <s v="2020"/>
    <x v="0"/>
    <s v="OPEB Trust Fund"/>
    <m/>
    <x v="0"/>
    <x v="0"/>
    <x v="0"/>
    <x v="0"/>
    <m/>
    <m/>
    <m/>
    <m/>
    <m/>
    <m/>
    <m/>
    <m/>
    <x v="0"/>
    <n v="2603764.23"/>
    <n v="0"/>
  </r>
  <r>
    <x v="0"/>
    <x v="0"/>
    <n v="2021"/>
    <s v="2015"/>
    <x v="0"/>
    <s v="OPEB Trust Fund"/>
    <s v="050"/>
    <x v="1"/>
    <x v="1"/>
    <x v="0"/>
    <x v="0"/>
    <m/>
    <m/>
    <m/>
    <m/>
    <m/>
    <m/>
    <m/>
    <m/>
    <x v="0"/>
    <n v="24122"/>
    <n v="0"/>
  </r>
  <r>
    <x v="1"/>
    <x v="1"/>
    <n v="2021"/>
    <s v="2021"/>
    <x v="0"/>
    <s v="OPEB Trust Fund"/>
    <m/>
    <x v="0"/>
    <x v="0"/>
    <x v="0"/>
    <x v="0"/>
    <m/>
    <m/>
    <m/>
    <m/>
    <m/>
    <m/>
    <m/>
    <m/>
    <x v="1"/>
    <n v="2610.2600000000002"/>
    <n v="1"/>
  </r>
  <r>
    <x v="2"/>
    <x v="2"/>
    <n v="2021"/>
    <s v="2021"/>
    <x v="0"/>
    <s v="OPEB Trust Fund"/>
    <m/>
    <x v="0"/>
    <x v="0"/>
    <x v="0"/>
    <x v="0"/>
    <m/>
    <m/>
    <m/>
    <m/>
    <m/>
    <m/>
    <m/>
    <m/>
    <x v="1"/>
    <n v="6332.98"/>
    <n v="2"/>
  </r>
  <r>
    <x v="3"/>
    <x v="3"/>
    <n v="2021"/>
    <s v="2021"/>
    <x v="0"/>
    <s v="OPEB Trust Fund"/>
    <m/>
    <x v="0"/>
    <x v="0"/>
    <x v="0"/>
    <x v="0"/>
    <m/>
    <m/>
    <m/>
    <m/>
    <m/>
    <m/>
    <m/>
    <m/>
    <x v="1"/>
    <n v="24820.87"/>
    <n v="4"/>
  </r>
  <r>
    <x v="4"/>
    <x v="4"/>
    <n v="2021"/>
    <s v="2021"/>
    <x v="0"/>
    <s v="OPEB Trust Fund"/>
    <m/>
    <x v="0"/>
    <x v="0"/>
    <x v="0"/>
    <x v="0"/>
    <m/>
    <m/>
    <m/>
    <m/>
    <m/>
    <m/>
    <m/>
    <m/>
    <x v="1"/>
    <n v="6476.6"/>
    <n v="4"/>
  </r>
  <r>
    <x v="5"/>
    <x v="5"/>
    <n v="2021"/>
    <s v="2021"/>
    <x v="0"/>
    <s v="OPEB Trust Fund"/>
    <m/>
    <x v="0"/>
    <x v="0"/>
    <x v="0"/>
    <x v="0"/>
    <m/>
    <m/>
    <m/>
    <m/>
    <m/>
    <m/>
    <m/>
    <m/>
    <x v="1"/>
    <n v="7494.08"/>
    <n v="5"/>
  </r>
  <r>
    <x v="5"/>
    <x v="6"/>
    <n v="2021"/>
    <s v="2021"/>
    <x v="0"/>
    <s v="OPEB Trust Fund"/>
    <m/>
    <x v="0"/>
    <x v="0"/>
    <x v="0"/>
    <x v="0"/>
    <m/>
    <m/>
    <m/>
    <m/>
    <m/>
    <m/>
    <m/>
    <m/>
    <x v="2"/>
    <n v="600000"/>
    <n v="5"/>
  </r>
  <r>
    <x v="6"/>
    <x v="7"/>
    <n v="2021"/>
    <s v="2021"/>
    <x v="0"/>
    <s v="OPEB Trust Fund"/>
    <m/>
    <x v="0"/>
    <x v="0"/>
    <x v="0"/>
    <x v="0"/>
    <m/>
    <m/>
    <m/>
    <m/>
    <m/>
    <m/>
    <m/>
    <m/>
    <x v="1"/>
    <n v="32974.26"/>
    <n v="6"/>
  </r>
  <r>
    <x v="7"/>
    <x v="6"/>
    <n v="2021"/>
    <s v="2021"/>
    <x v="0"/>
    <s v="OPEB Trust Fund"/>
    <m/>
    <x v="0"/>
    <x v="0"/>
    <x v="0"/>
    <x v="0"/>
    <m/>
    <m/>
    <m/>
    <m/>
    <m/>
    <m/>
    <m/>
    <m/>
    <x v="2"/>
    <n v="800000"/>
    <n v="7"/>
  </r>
  <r>
    <x v="8"/>
    <x v="8"/>
    <n v="2021"/>
    <s v="2021"/>
    <x v="0"/>
    <s v="OPEB Trust Fund"/>
    <m/>
    <x v="0"/>
    <x v="0"/>
    <x v="0"/>
    <x v="0"/>
    <m/>
    <m/>
    <m/>
    <m/>
    <m/>
    <m/>
    <m/>
    <m/>
    <x v="1"/>
    <n v="7661.01"/>
    <n v="7"/>
  </r>
  <r>
    <x v="9"/>
    <x v="9"/>
    <n v="2021"/>
    <s v="2021"/>
    <x v="0"/>
    <s v="OPEB Trust Fund"/>
    <m/>
    <x v="0"/>
    <x v="0"/>
    <x v="0"/>
    <x v="0"/>
    <m/>
    <m/>
    <m/>
    <m/>
    <m/>
    <m/>
    <m/>
    <m/>
    <x v="1"/>
    <n v="7952.59"/>
    <n v="9"/>
  </r>
  <r>
    <x v="10"/>
    <x v="10"/>
    <n v="2021"/>
    <s v="2021"/>
    <x v="0"/>
    <s v="OPEB Trust Fund"/>
    <m/>
    <x v="0"/>
    <x v="0"/>
    <x v="0"/>
    <x v="0"/>
    <m/>
    <m/>
    <m/>
    <m/>
    <m/>
    <m/>
    <m/>
    <m/>
    <x v="1"/>
    <n v="31656.6"/>
    <n v="9"/>
  </r>
  <r>
    <x v="11"/>
    <x v="11"/>
    <n v="2021"/>
    <s v="2021"/>
    <x v="0"/>
    <s v="OPEB Trust Fund"/>
    <m/>
    <x v="0"/>
    <x v="0"/>
    <x v="0"/>
    <x v="0"/>
    <m/>
    <m/>
    <m/>
    <m/>
    <m/>
    <m/>
    <m/>
    <m/>
    <x v="1"/>
    <n v="-853.91"/>
    <n v="10"/>
  </r>
  <r>
    <x v="12"/>
    <x v="12"/>
    <n v="2021"/>
    <s v="2021"/>
    <x v="0"/>
    <s v="OPEB Trust Fund"/>
    <m/>
    <x v="0"/>
    <x v="0"/>
    <x v="0"/>
    <x v="0"/>
    <m/>
    <m/>
    <m/>
    <m/>
    <m/>
    <m/>
    <m/>
    <m/>
    <x v="1"/>
    <n v="7863.94"/>
    <n v="10"/>
  </r>
  <r>
    <x v="13"/>
    <x v="13"/>
    <n v="2021"/>
    <s v="2021"/>
    <x v="0"/>
    <s v="OPEB Trust Fund"/>
    <m/>
    <x v="0"/>
    <x v="0"/>
    <x v="0"/>
    <x v="0"/>
    <m/>
    <m/>
    <m/>
    <m/>
    <m/>
    <m/>
    <m/>
    <m/>
    <x v="1"/>
    <n v="7419.63"/>
    <n v="11"/>
  </r>
  <r>
    <x v="14"/>
    <x v="14"/>
    <n v="2021"/>
    <s v="2021"/>
    <x v="0"/>
    <s v="OPEB Trust Fund"/>
    <m/>
    <x v="0"/>
    <x v="0"/>
    <x v="0"/>
    <x v="0"/>
    <m/>
    <m/>
    <m/>
    <m/>
    <m/>
    <m/>
    <m/>
    <m/>
    <x v="1"/>
    <n v="52105.62"/>
    <n v="12"/>
  </r>
  <r>
    <x v="14"/>
    <x v="15"/>
    <n v="2021"/>
    <s v="2021"/>
    <x v="0"/>
    <s v="OPEB Trust Fund"/>
    <m/>
    <x v="0"/>
    <x v="0"/>
    <x v="0"/>
    <x v="0"/>
    <m/>
    <m/>
    <m/>
    <m/>
    <m/>
    <m/>
    <m/>
    <m/>
    <x v="3"/>
    <n v="1058752.55"/>
    <n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0F9CC8-0417-4254-9543-08C3EF29783A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H24" firstHeaderRow="2" firstDataRow="2" firstDataCol="7"/>
  <pivotFields count="23"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howAll="0" defaultSubtotal="0">
      <items count="16">
        <item x="1"/>
        <item x="2"/>
        <item x="3"/>
        <item x="4"/>
        <item x="5"/>
        <item x="7"/>
        <item x="8"/>
        <item x="9"/>
        <item x="10"/>
        <item x="11"/>
        <item x="12"/>
        <item x="13"/>
        <item x="14"/>
        <item x="0"/>
        <item x="15"/>
        <item x="6"/>
      </items>
    </pivotField>
    <pivotField compact="0" numFmtId="1" outline="0" showAll="0"/>
    <pivotField compact="0" outline="0" showAll="0"/>
    <pivotField axis="axisRow" compact="0" outline="0" showAll="0">
      <items count="2"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2">
        <item x="1"/>
        <item x="0"/>
      </items>
    </pivotField>
    <pivotField compact="0" outline="0" showAll="0">
      <items count="3">
        <item x="1"/>
        <item x="0"/>
        <item t="default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5">
        <item x="0"/>
        <item x="2"/>
        <item x="1"/>
        <item x="3"/>
        <item t="default"/>
      </items>
    </pivotField>
    <pivotField dataField="1" compact="0" numFmtId="164" outline="0" showAll="0"/>
    <pivotField compact="0" numFmtId="1" outline="0" showAl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7">
    <field x="4"/>
    <field x="7"/>
    <field x="9"/>
    <field x="10"/>
    <field x="0"/>
    <field x="1"/>
    <field x="19"/>
  </rowFields>
  <rowItems count="20">
    <i>
      <x/>
      <x/>
      <x/>
      <x/>
      <x v="1"/>
      <x v="13"/>
      <x/>
    </i>
    <i r="1">
      <x v="1"/>
      <x/>
      <x/>
      <x v="1"/>
      <x v="13"/>
      <x/>
    </i>
    <i r="4">
      <x v="31"/>
      <x/>
      <x v="2"/>
    </i>
    <i r="4">
      <x v="59"/>
      <x v="1"/>
      <x v="2"/>
    </i>
    <i r="4">
      <x v="92"/>
      <x v="2"/>
      <x v="2"/>
    </i>
    <i r="4">
      <x v="121"/>
      <x v="3"/>
      <x v="2"/>
    </i>
    <i r="4">
      <x v="152"/>
      <x v="4"/>
      <x v="2"/>
    </i>
    <i r="5">
      <x v="15"/>
      <x v="1"/>
    </i>
    <i r="4">
      <x v="182"/>
      <x v="5"/>
      <x v="2"/>
    </i>
    <i r="4">
      <x v="192"/>
      <x v="15"/>
      <x v="1"/>
    </i>
    <i r="4">
      <x v="213"/>
      <x v="6"/>
      <x v="2"/>
    </i>
    <i r="4">
      <x v="245"/>
      <x v="7"/>
      <x v="2"/>
    </i>
    <i r="4">
      <x v="274"/>
      <x v="8"/>
      <x v="2"/>
    </i>
    <i r="4">
      <x v="275"/>
      <x v="9"/>
      <x v="2"/>
    </i>
    <i r="4">
      <x v="305"/>
      <x v="10"/>
      <x v="2"/>
    </i>
    <i r="4">
      <x v="335"/>
      <x v="11"/>
      <x v="2"/>
    </i>
    <i r="4">
      <x v="366"/>
      <x v="12"/>
      <x v="2"/>
    </i>
    <i r="5">
      <x v="14"/>
      <x v="3"/>
    </i>
    <i t="default">
      <x/>
    </i>
    <i t="grand">
      <x/>
    </i>
  </rowItems>
  <colItems count="1">
    <i/>
  </colItems>
  <dataFields count="1">
    <dataField name="Sum of Amount" fld="20" baseField="0" baseItem="0"/>
  </dataFields>
  <formats count="8">
    <format dxfId="7">
      <pivotArea outline="0" fieldPosition="0">
        <references count="7">
          <reference field="0" count="1" selected="0">
            <x v="152"/>
          </reference>
          <reference field="1" count="1" selected="0">
            <x v="15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1"/>
          </reference>
        </references>
      </pivotArea>
    </format>
    <format dxfId="6">
      <pivotArea outline="0" fieldPosition="0">
        <references count="7">
          <reference field="0" count="1" selected="0">
            <x v="192"/>
          </reference>
          <reference field="1" count="1" selected="0">
            <x v="15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1"/>
          </reference>
        </references>
      </pivotArea>
    </format>
    <format dxfId="5">
      <pivotArea outline="0" fieldPosition="0">
        <references count="7">
          <reference field="0" count="4" selected="0">
            <x v="31"/>
            <x v="59"/>
            <x v="92"/>
            <x v="121"/>
          </reference>
          <reference field="1" count="4" selected="0">
            <x v="0"/>
            <x v="1"/>
            <x v="2"/>
            <x v="3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2"/>
          </reference>
        </references>
      </pivotArea>
    </format>
    <format dxfId="4">
      <pivotArea outline="0" fieldPosition="0">
        <references count="7">
          <reference field="0" count="1" selected="0">
            <x v="152"/>
          </reference>
          <reference field="1" count="1" selected="0">
            <x v="4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2"/>
          </reference>
        </references>
      </pivotArea>
    </format>
    <format dxfId="3">
      <pivotArea outline="0" fieldPosition="0">
        <references count="7">
          <reference field="0" count="1" selected="0">
            <x v="182"/>
          </reference>
          <reference field="1" count="1" selected="0">
            <x v="5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2"/>
          </reference>
        </references>
      </pivotArea>
    </format>
    <format dxfId="2">
      <pivotArea outline="0" fieldPosition="0">
        <references count="7">
          <reference field="0" count="6" selected="0">
            <x v="213"/>
            <x v="245"/>
            <x v="274"/>
            <x v="275"/>
            <x v="305"/>
            <x v="335"/>
          </reference>
          <reference field="1" count="6" selected="0">
            <x v="6"/>
            <x v="7"/>
            <x v="8"/>
            <x v="9"/>
            <x v="10"/>
            <x v="11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2"/>
          </reference>
        </references>
      </pivotArea>
    </format>
    <format dxfId="1">
      <pivotArea outline="0" fieldPosition="0">
        <references count="7">
          <reference field="0" count="1" selected="0">
            <x v="366"/>
          </reference>
          <reference field="1" count="1" selected="0">
            <x v="12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2"/>
          </reference>
        </references>
      </pivotArea>
    </format>
    <format dxfId="0">
      <pivotArea outline="0" fieldPosition="0">
        <references count="7">
          <reference field="0" count="1" selected="0">
            <x v="366"/>
          </reference>
          <reference field="1" count="1" selected="0">
            <x v="14"/>
          </reference>
          <reference field="4" count="0" selected="0"/>
          <reference field="7" count="1" selected="0">
            <x v="1"/>
          </reference>
          <reference field="9" count="0" selected="0"/>
          <reference field="10" count="0" selected="0"/>
          <reference field="19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C407-7E10-4A2B-882E-EECF59AECDC2}">
  <dimension ref="S15:T40"/>
  <sheetViews>
    <sheetView workbookViewId="0"/>
  </sheetViews>
  <sheetFormatPr defaultRowHeight="14.4" x14ac:dyDescent="0.3"/>
  <cols>
    <col min="19" max="19" width="17.109375" style="1" customWidth="1"/>
    <col min="20" max="20" width="19.77734375" customWidth="1"/>
  </cols>
  <sheetData>
    <row r="15" spans="19:20" x14ac:dyDescent="0.3">
      <c r="S15" s="10">
        <v>13413808.720000001</v>
      </c>
      <c r="T15" s="37" t="s">
        <v>160</v>
      </c>
    </row>
    <row r="16" spans="19:20" x14ac:dyDescent="0.3">
      <c r="T16" s="1">
        <f>-'Hist Mtg'!I32</f>
        <v>13513783.620000001</v>
      </c>
    </row>
    <row r="17" spans="19:20" x14ac:dyDescent="0.3">
      <c r="T17" s="27">
        <f>+T16-S15</f>
        <v>99974.900000000373</v>
      </c>
    </row>
    <row r="18" spans="19:20" x14ac:dyDescent="0.3">
      <c r="T18" s="27"/>
    </row>
    <row r="27" spans="19:20" ht="16.2" x14ac:dyDescent="0.45">
      <c r="S27" s="34"/>
    </row>
    <row r="29" spans="19:20" x14ac:dyDescent="0.3">
      <c r="T29" s="27"/>
    </row>
    <row r="34" spans="19:20" x14ac:dyDescent="0.3">
      <c r="S34" s="1">
        <v>-14507982.01</v>
      </c>
    </row>
    <row r="36" spans="19:20" x14ac:dyDescent="0.3">
      <c r="S36" s="12">
        <f>+S34+S15</f>
        <v>-1094173.2899999991</v>
      </c>
      <c r="T36" t="s">
        <v>159</v>
      </c>
    </row>
    <row r="37" spans="19:20" x14ac:dyDescent="0.3">
      <c r="T37" s="27"/>
    </row>
    <row r="38" spans="19:20" x14ac:dyDescent="0.3">
      <c r="S38" s="1">
        <f>+'2021 Sum'!E63</f>
        <v>300000</v>
      </c>
    </row>
    <row r="40" spans="19:20" x14ac:dyDescent="0.3">
      <c r="S40" s="12">
        <f>+S36+S38</f>
        <v>-794173.28999999911</v>
      </c>
      <c r="T40" s="27">
        <f>+S40-'2021 Sum'!E65</f>
        <v>19517.610000001267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68C7-91D6-48F2-835E-0E774A8188B1}">
  <dimension ref="A1:K65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18.33203125" customWidth="1"/>
    <col min="2" max="2" width="19.5546875" customWidth="1"/>
    <col min="3" max="3" width="18.77734375" customWidth="1"/>
    <col min="4" max="4" width="31.21875" customWidth="1"/>
    <col min="5" max="5" width="20.6640625" style="1" customWidth="1"/>
    <col min="6" max="6" width="15.109375" customWidth="1"/>
    <col min="11" max="11" width="15.88671875" customWidth="1"/>
  </cols>
  <sheetData>
    <row r="1" spans="1:11" ht="16.8" x14ac:dyDescent="0.35">
      <c r="A1" s="2" t="s">
        <v>0</v>
      </c>
      <c r="B1" s="3"/>
      <c r="C1" s="3"/>
      <c r="D1" s="3"/>
      <c r="E1" s="4"/>
    </row>
    <row r="2" spans="1:11" ht="15" x14ac:dyDescent="0.35">
      <c r="A2" s="5" t="s">
        <v>1</v>
      </c>
      <c r="B2" s="3"/>
      <c r="C2" s="3"/>
      <c r="D2" s="3"/>
      <c r="E2" s="4"/>
    </row>
    <row r="3" spans="1:11" ht="15" x14ac:dyDescent="0.35">
      <c r="A3" s="5" t="s">
        <v>2</v>
      </c>
      <c r="B3" s="3"/>
      <c r="C3" s="3"/>
      <c r="D3" s="3"/>
      <c r="E3" s="4"/>
    </row>
    <row r="5" spans="1:11" x14ac:dyDescent="0.3">
      <c r="A5" s="6" t="s">
        <v>3</v>
      </c>
      <c r="B5" s="6"/>
      <c r="C5" s="6"/>
      <c r="D5" s="6"/>
      <c r="E5" s="7"/>
    </row>
    <row r="6" spans="1:11" ht="15" thickBot="1" x14ac:dyDescent="0.35">
      <c r="A6" s="8" t="s">
        <v>4</v>
      </c>
      <c r="B6" s="8" t="s">
        <v>5</v>
      </c>
      <c r="C6" s="8" t="s">
        <v>6</v>
      </c>
      <c r="D6" s="8" t="s">
        <v>7</v>
      </c>
      <c r="E6" s="9" t="s">
        <v>8</v>
      </c>
    </row>
    <row r="7" spans="1:11" x14ac:dyDescent="0.3">
      <c r="A7" t="s">
        <v>9</v>
      </c>
      <c r="B7" t="s">
        <v>10</v>
      </c>
      <c r="C7" t="s">
        <v>11</v>
      </c>
      <c r="D7" t="s">
        <v>12</v>
      </c>
      <c r="E7" s="10">
        <v>-66468</v>
      </c>
      <c r="F7" s="11"/>
      <c r="G7" s="11" t="s">
        <v>13</v>
      </c>
      <c r="H7" s="11"/>
      <c r="I7" s="11"/>
      <c r="J7" s="11"/>
      <c r="K7" s="11"/>
    </row>
    <row r="8" spans="1:11" x14ac:dyDescent="0.3">
      <c r="C8" t="s">
        <v>14</v>
      </c>
      <c r="D8" t="s">
        <v>15</v>
      </c>
      <c r="E8" s="1">
        <v>-2609.5300000000002</v>
      </c>
    </row>
    <row r="9" spans="1:11" x14ac:dyDescent="0.3">
      <c r="C9" t="s">
        <v>16</v>
      </c>
      <c r="D9" t="s">
        <v>17</v>
      </c>
      <c r="E9" s="26">
        <v>-194514.53</v>
      </c>
      <c r="F9" s="36"/>
      <c r="G9" s="36" t="s">
        <v>161</v>
      </c>
      <c r="H9" s="36"/>
      <c r="I9" s="36"/>
      <c r="J9" s="36"/>
      <c r="K9" s="36"/>
    </row>
    <row r="10" spans="1:11" x14ac:dyDescent="0.3">
      <c r="C10" t="s">
        <v>18</v>
      </c>
      <c r="D10" t="s">
        <v>19</v>
      </c>
      <c r="E10" s="12">
        <v>-1058752.55</v>
      </c>
      <c r="F10" s="13"/>
      <c r="G10" s="13" t="s">
        <v>20</v>
      </c>
      <c r="H10" s="13"/>
      <c r="I10" s="13"/>
      <c r="J10" s="13"/>
      <c r="K10" s="13"/>
    </row>
    <row r="11" spans="1:11" x14ac:dyDescent="0.3">
      <c r="C11" t="s">
        <v>21</v>
      </c>
      <c r="D11" t="s">
        <v>22</v>
      </c>
      <c r="E11" s="10">
        <v>-4742940.47</v>
      </c>
      <c r="F11" s="11"/>
      <c r="G11" s="11" t="s">
        <v>13</v>
      </c>
      <c r="H11" s="11"/>
      <c r="I11" s="11"/>
      <c r="J11" s="11"/>
      <c r="K11" s="10">
        <f>+E11+E7</f>
        <v>-4809408.47</v>
      </c>
    </row>
    <row r="12" spans="1:11" x14ac:dyDescent="0.3">
      <c r="C12" t="s">
        <v>23</v>
      </c>
      <c r="D12" t="s">
        <v>24</v>
      </c>
      <c r="E12" s="1">
        <v>-307381.13000000006</v>
      </c>
    </row>
    <row r="13" spans="1:11" x14ac:dyDescent="0.3">
      <c r="C13" t="s">
        <v>25</v>
      </c>
      <c r="D13" t="s">
        <v>26</v>
      </c>
      <c r="E13" s="1">
        <v>-154047.18000000008</v>
      </c>
    </row>
    <row r="14" spans="1:11" x14ac:dyDescent="0.3">
      <c r="C14" t="s">
        <v>27</v>
      </c>
      <c r="D14" t="s">
        <v>28</v>
      </c>
      <c r="E14" s="1">
        <v>-135320.95000000004</v>
      </c>
    </row>
    <row r="15" spans="1:11" x14ac:dyDescent="0.3">
      <c r="C15" t="s">
        <v>29</v>
      </c>
      <c r="D15" t="s">
        <v>30</v>
      </c>
      <c r="E15" s="1">
        <v>-146727.97</v>
      </c>
    </row>
    <row r="16" spans="1:11" x14ac:dyDescent="0.3">
      <c r="C16" t="s">
        <v>31</v>
      </c>
      <c r="D16" t="s">
        <v>32</v>
      </c>
      <c r="E16" s="1">
        <v>-172573.99000000002</v>
      </c>
    </row>
    <row r="19" spans="1:7" x14ac:dyDescent="0.3">
      <c r="A19" s="14" t="s">
        <v>33</v>
      </c>
      <c r="B19" s="14"/>
      <c r="C19" s="14"/>
      <c r="D19" s="14"/>
      <c r="E19" s="15">
        <f>SUM(E7:E18)</f>
        <v>-6981336.2999999998</v>
      </c>
      <c r="F19" t="s">
        <v>162</v>
      </c>
      <c r="G19" t="s">
        <v>164</v>
      </c>
    </row>
    <row r="22" spans="1:7" x14ac:dyDescent="0.3">
      <c r="A22" s="6" t="s">
        <v>34</v>
      </c>
      <c r="B22" s="6"/>
      <c r="C22" s="6"/>
      <c r="D22" s="6"/>
      <c r="E22" s="7"/>
    </row>
    <row r="23" spans="1:7" ht="15" thickBot="1" x14ac:dyDescent="0.35">
      <c r="A23" s="8" t="s">
        <v>4</v>
      </c>
      <c r="B23" s="8" t="s">
        <v>5</v>
      </c>
      <c r="C23" s="8" t="s">
        <v>6</v>
      </c>
      <c r="D23" s="8" t="s">
        <v>7</v>
      </c>
      <c r="E23" s="9" t="s">
        <v>8</v>
      </c>
    </row>
    <row r="24" spans="1:7" x14ac:dyDescent="0.3">
      <c r="A24" t="s">
        <v>9</v>
      </c>
      <c r="B24" t="s">
        <v>10</v>
      </c>
      <c r="C24" t="s">
        <v>35</v>
      </c>
      <c r="D24" t="s">
        <v>36</v>
      </c>
      <c r="E24" s="1">
        <v>3200</v>
      </c>
    </row>
    <row r="25" spans="1:7" x14ac:dyDescent="0.3">
      <c r="C25" t="s">
        <v>37</v>
      </c>
      <c r="D25" t="s">
        <v>38</v>
      </c>
      <c r="E25" s="1">
        <v>64600</v>
      </c>
    </row>
    <row r="26" spans="1:7" x14ac:dyDescent="0.3">
      <c r="C26" t="s">
        <v>39</v>
      </c>
      <c r="D26" t="s">
        <v>40</v>
      </c>
      <c r="E26" s="1">
        <v>2195950.6399999997</v>
      </c>
    </row>
    <row r="27" spans="1:7" x14ac:dyDescent="0.3">
      <c r="C27" t="s">
        <v>41</v>
      </c>
      <c r="D27" t="s">
        <v>42</v>
      </c>
      <c r="E27" s="1">
        <v>5805.880000000001</v>
      </c>
    </row>
    <row r="28" spans="1:7" x14ac:dyDescent="0.3">
      <c r="C28" t="s">
        <v>43</v>
      </c>
      <c r="D28" t="s">
        <v>44</v>
      </c>
      <c r="E28" s="1">
        <v>443728.19000000006</v>
      </c>
    </row>
    <row r="29" spans="1:7" x14ac:dyDescent="0.3">
      <c r="C29" t="s">
        <v>45</v>
      </c>
      <c r="D29" t="s">
        <v>46</v>
      </c>
      <c r="E29" s="1">
        <v>30200.310000000005</v>
      </c>
    </row>
    <row r="30" spans="1:7" x14ac:dyDescent="0.3">
      <c r="C30" t="s">
        <v>47</v>
      </c>
      <c r="D30" t="s">
        <v>48</v>
      </c>
      <c r="E30" s="1">
        <v>11485.8</v>
      </c>
    </row>
    <row r="31" spans="1:7" x14ac:dyDescent="0.3">
      <c r="C31" t="s">
        <v>49</v>
      </c>
      <c r="D31" t="s">
        <v>50</v>
      </c>
      <c r="E31" s="1">
        <v>436601.59</v>
      </c>
    </row>
    <row r="32" spans="1:7" x14ac:dyDescent="0.3">
      <c r="C32" t="s">
        <v>51</v>
      </c>
      <c r="D32" t="s">
        <v>52</v>
      </c>
      <c r="E32" s="1">
        <v>14695.169999999998</v>
      </c>
    </row>
    <row r="33" spans="3:5" x14ac:dyDescent="0.3">
      <c r="C33" t="s">
        <v>53</v>
      </c>
      <c r="D33" t="s">
        <v>54</v>
      </c>
      <c r="E33" s="1">
        <v>20901.32</v>
      </c>
    </row>
    <row r="34" spans="3:5" x14ac:dyDescent="0.3">
      <c r="C34" t="s">
        <v>55</v>
      </c>
      <c r="D34" t="s">
        <v>56</v>
      </c>
      <c r="E34" s="1">
        <v>505602.35</v>
      </c>
    </row>
    <row r="35" spans="3:5" x14ac:dyDescent="0.3">
      <c r="C35" t="s">
        <v>57</v>
      </c>
      <c r="D35" t="s">
        <v>58</v>
      </c>
      <c r="E35" s="1">
        <v>42777.9</v>
      </c>
    </row>
    <row r="36" spans="3:5" x14ac:dyDescent="0.3">
      <c r="C36" t="s">
        <v>59</v>
      </c>
      <c r="D36" t="s">
        <v>60</v>
      </c>
      <c r="E36" s="1">
        <v>21128.2</v>
      </c>
    </row>
    <row r="37" spans="3:5" x14ac:dyDescent="0.3">
      <c r="C37" t="s">
        <v>61</v>
      </c>
      <c r="D37" t="s">
        <v>62</v>
      </c>
      <c r="E37" s="1">
        <v>546138.22999999986</v>
      </c>
    </row>
    <row r="38" spans="3:5" x14ac:dyDescent="0.3">
      <c r="C38" t="s">
        <v>63</v>
      </c>
      <c r="D38" t="s">
        <v>64</v>
      </c>
      <c r="E38" s="1">
        <v>29144.399999999994</v>
      </c>
    </row>
    <row r="39" spans="3:5" x14ac:dyDescent="0.3">
      <c r="C39" t="s">
        <v>65</v>
      </c>
      <c r="D39" t="s">
        <v>66</v>
      </c>
      <c r="E39" s="1">
        <v>15059.159999999996</v>
      </c>
    </row>
    <row r="40" spans="3:5" x14ac:dyDescent="0.3">
      <c r="C40" t="s">
        <v>67</v>
      </c>
      <c r="D40" t="s">
        <v>68</v>
      </c>
      <c r="E40" s="1">
        <v>143322.57999999999</v>
      </c>
    </row>
    <row r="41" spans="3:5" x14ac:dyDescent="0.3">
      <c r="C41" t="s">
        <v>69</v>
      </c>
      <c r="D41" t="s">
        <v>70</v>
      </c>
      <c r="E41" s="1">
        <v>7101.5999999999995</v>
      </c>
    </row>
    <row r="42" spans="3:5" x14ac:dyDescent="0.3">
      <c r="C42" t="s">
        <v>71</v>
      </c>
      <c r="D42" t="s">
        <v>72</v>
      </c>
      <c r="E42" s="1">
        <v>15137</v>
      </c>
    </row>
    <row r="43" spans="3:5" x14ac:dyDescent="0.3">
      <c r="C43" t="s">
        <v>73</v>
      </c>
      <c r="D43" t="s">
        <v>74</v>
      </c>
      <c r="E43" s="1">
        <v>19579</v>
      </c>
    </row>
    <row r="44" spans="3:5" x14ac:dyDescent="0.3">
      <c r="C44" t="s">
        <v>75</v>
      </c>
      <c r="D44" t="s">
        <v>76</v>
      </c>
      <c r="E44" s="1">
        <v>9436</v>
      </c>
    </row>
    <row r="45" spans="3:5" x14ac:dyDescent="0.3">
      <c r="C45" t="s">
        <v>77</v>
      </c>
      <c r="D45" t="s">
        <v>78</v>
      </c>
      <c r="E45" s="1">
        <v>15615</v>
      </c>
    </row>
    <row r="46" spans="3:5" x14ac:dyDescent="0.3">
      <c r="C46" t="s">
        <v>79</v>
      </c>
      <c r="D46" t="s">
        <v>80</v>
      </c>
      <c r="E46" s="1">
        <v>20</v>
      </c>
    </row>
    <row r="47" spans="3:5" x14ac:dyDescent="0.3">
      <c r="C47" t="s">
        <v>81</v>
      </c>
      <c r="D47" t="s">
        <v>82</v>
      </c>
      <c r="E47" s="1">
        <v>17148</v>
      </c>
    </row>
    <row r="50" spans="1:6" x14ac:dyDescent="0.3">
      <c r="A50" s="16" t="s">
        <v>33</v>
      </c>
      <c r="B50" s="16"/>
      <c r="C50" s="16"/>
      <c r="D50" s="16"/>
      <c r="E50" s="17">
        <f>SUM(E24:E49)</f>
        <v>4614378.3199999994</v>
      </c>
      <c r="F50" t="s">
        <v>162</v>
      </c>
    </row>
    <row r="53" spans="1:6" ht="15" x14ac:dyDescent="0.35">
      <c r="A53" s="32" t="s">
        <v>83</v>
      </c>
      <c r="B53" s="32"/>
      <c r="C53" s="32"/>
      <c r="D53" s="32"/>
      <c r="E53" s="33">
        <f>+E19+E50</f>
        <v>-2366957.9800000004</v>
      </c>
    </row>
    <row r="54" spans="1:6" ht="15" x14ac:dyDescent="0.35">
      <c r="A54" s="18"/>
      <c r="B54" s="18"/>
      <c r="C54" s="18"/>
      <c r="D54" s="18"/>
      <c r="E54" s="19"/>
    </row>
    <row r="55" spans="1:6" x14ac:dyDescent="0.3">
      <c r="A55" t="s">
        <v>18</v>
      </c>
      <c r="B55" t="s">
        <v>158</v>
      </c>
      <c r="E55" s="20">
        <f>-E10</f>
        <v>1058752.55</v>
      </c>
    </row>
    <row r="56" spans="1:6" x14ac:dyDescent="0.3">
      <c r="E56" s="20"/>
    </row>
    <row r="57" spans="1:6" ht="15" x14ac:dyDescent="0.35">
      <c r="A57" s="32" t="s">
        <v>84</v>
      </c>
      <c r="B57" s="32"/>
      <c r="C57" s="32"/>
      <c r="D57" s="32"/>
      <c r="E57" s="33">
        <f>+E55+E53</f>
        <v>-1308205.4300000004</v>
      </c>
    </row>
    <row r="59" spans="1:6" x14ac:dyDescent="0.3">
      <c r="A59" s="35">
        <v>429015</v>
      </c>
      <c r="B59" t="s">
        <v>157</v>
      </c>
      <c r="E59" s="1">
        <f>-E9</f>
        <v>194514.53</v>
      </c>
    </row>
    <row r="61" spans="1:6" ht="15" x14ac:dyDescent="0.35">
      <c r="A61" s="29" t="s">
        <v>155</v>
      </c>
      <c r="B61" s="29"/>
      <c r="C61" s="29"/>
      <c r="D61" s="29"/>
      <c r="E61" s="30">
        <f>+E57+E59</f>
        <v>-1113690.9000000004</v>
      </c>
      <c r="F61" s="27"/>
    </row>
    <row r="63" spans="1:6" x14ac:dyDescent="0.3">
      <c r="A63" t="s">
        <v>156</v>
      </c>
      <c r="E63" s="1">
        <v>300000</v>
      </c>
    </row>
    <row r="65" spans="1:6" ht="15" x14ac:dyDescent="0.35">
      <c r="A65" s="29" t="s">
        <v>155</v>
      </c>
      <c r="B65" s="29"/>
      <c r="C65" s="29"/>
      <c r="D65" s="29"/>
      <c r="E65" s="30">
        <f>+E57+E59+E63</f>
        <v>-813690.90000000037</v>
      </c>
      <c r="F65" s="27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8050-DF25-410F-9DD5-0624CB789737}">
  <dimension ref="B2:L72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4" x14ac:dyDescent="0.3"/>
  <cols>
    <col min="1" max="1" width="6.44140625" customWidth="1"/>
    <col min="2" max="2" width="34.77734375" customWidth="1"/>
    <col min="3" max="10" width="19.109375" customWidth="1"/>
    <col min="11" max="11" width="17.88671875" customWidth="1"/>
  </cols>
  <sheetData>
    <row r="2" spans="2:10" x14ac:dyDescent="0.3">
      <c r="B2" s="38" t="s">
        <v>165</v>
      </c>
    </row>
    <row r="3" spans="2:10" x14ac:dyDescent="0.3">
      <c r="B3" s="35" t="s">
        <v>166</v>
      </c>
      <c r="E3" s="35"/>
      <c r="I3" s="39"/>
    </row>
    <row r="5" spans="2:10" x14ac:dyDescent="0.3">
      <c r="B5" s="70" t="s">
        <v>167</v>
      </c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>
        <v>2020</v>
      </c>
      <c r="I5" s="70">
        <v>2021</v>
      </c>
      <c r="J5" s="71" t="s">
        <v>8</v>
      </c>
    </row>
    <row r="7" spans="2:10" x14ac:dyDescent="0.3">
      <c r="B7" t="s">
        <v>3</v>
      </c>
      <c r="C7" s="1">
        <v>-4724442.07</v>
      </c>
      <c r="D7" s="1">
        <v>-4412612.18</v>
      </c>
      <c r="E7" s="1">
        <v>-4528641.21</v>
      </c>
      <c r="F7" s="40">
        <v>-5704723.2999999998</v>
      </c>
      <c r="G7" s="1">
        <v>-7650831.3300000001</v>
      </c>
      <c r="H7" s="1">
        <v>-6339323.21</v>
      </c>
      <c r="I7" s="1">
        <v>-6981336.2999999998</v>
      </c>
      <c r="J7" s="27">
        <f>SUM(C7:I7)</f>
        <v>-40341909.600000001</v>
      </c>
    </row>
    <row r="8" spans="2:10" x14ac:dyDescent="0.3">
      <c r="B8" s="65" t="s">
        <v>34</v>
      </c>
      <c r="C8" s="55">
        <v>4241685.16</v>
      </c>
      <c r="D8" s="55">
        <f>3488956.04+20</f>
        <v>3488976.04</v>
      </c>
      <c r="E8" s="55">
        <f>4312111.47-14800</f>
        <v>4297311.47</v>
      </c>
      <c r="F8" s="55">
        <f>4615390.16+14800</f>
        <v>4630190.16</v>
      </c>
      <c r="G8" s="55">
        <v>4621745.6500000004</v>
      </c>
      <c r="H8" s="55">
        <f>4146480.65-1365.4</f>
        <v>4145115.25</v>
      </c>
      <c r="I8" s="55">
        <v>4614378.32</v>
      </c>
      <c r="J8" s="72">
        <f>SUM(C8:I8)</f>
        <v>30039402.050000001</v>
      </c>
    </row>
    <row r="9" spans="2:10" x14ac:dyDescent="0.3">
      <c r="C9" s="1"/>
      <c r="D9" s="1"/>
      <c r="E9" s="1"/>
      <c r="F9" s="1"/>
      <c r="G9" s="1"/>
      <c r="H9" s="1"/>
      <c r="I9" s="1"/>
    </row>
    <row r="10" spans="2:10" x14ac:dyDescent="0.3">
      <c r="B10" s="62" t="s">
        <v>190</v>
      </c>
      <c r="C10" s="45">
        <f t="shared" ref="C10:J10" si="0">SUM(C7:C8)</f>
        <v>-482756.91000000015</v>
      </c>
      <c r="D10" s="45">
        <f t="shared" si="0"/>
        <v>-923636.13999999966</v>
      </c>
      <c r="E10" s="45">
        <f t="shared" si="0"/>
        <v>-231329.74000000022</v>
      </c>
      <c r="F10" s="45">
        <f t="shared" si="0"/>
        <v>-1074533.1399999997</v>
      </c>
      <c r="G10" s="45">
        <f t="shared" si="0"/>
        <v>-3029085.6799999997</v>
      </c>
      <c r="H10" s="45">
        <f t="shared" si="0"/>
        <v>-2194207.96</v>
      </c>
      <c r="I10" s="45">
        <f t="shared" si="0"/>
        <v>-2366957.9799999995</v>
      </c>
      <c r="J10" s="45">
        <f t="shared" si="0"/>
        <v>-10302507.550000001</v>
      </c>
    </row>
    <row r="11" spans="2:10" x14ac:dyDescent="0.3">
      <c r="B11" s="58"/>
      <c r="C11" s="57"/>
      <c r="D11" s="57"/>
      <c r="E11" s="57"/>
      <c r="F11" s="57"/>
      <c r="G11" s="57"/>
      <c r="H11" s="57"/>
      <c r="I11" s="57"/>
      <c r="J11" s="57"/>
    </row>
    <row r="12" spans="2:10" x14ac:dyDescent="0.3">
      <c r="B12" s="58" t="s">
        <v>193</v>
      </c>
      <c r="C12" s="57">
        <v>0</v>
      </c>
      <c r="D12" s="57">
        <v>-12040.07</v>
      </c>
      <c r="E12" s="57">
        <v>38227.49</v>
      </c>
      <c r="F12" s="57">
        <v>-215560.78</v>
      </c>
      <c r="G12" s="57">
        <v>575541.22</v>
      </c>
      <c r="H12" s="57">
        <v>849653.27</v>
      </c>
      <c r="I12" s="63">
        <v>1058752.55</v>
      </c>
      <c r="J12" s="20"/>
    </row>
    <row r="13" spans="2:10" x14ac:dyDescent="0.3">
      <c r="B13" s="74" t="s">
        <v>185</v>
      </c>
      <c r="C13" s="55">
        <v>8240.65</v>
      </c>
      <c r="D13" s="55">
        <v>57878.53</v>
      </c>
      <c r="E13" s="55">
        <v>131728.6</v>
      </c>
      <c r="F13" s="55">
        <v>7535.54</v>
      </c>
      <c r="G13" s="55">
        <v>166546.95000000001</v>
      </c>
      <c r="H13" s="55">
        <v>180586.23</v>
      </c>
      <c r="I13" s="73">
        <v>194514.53</v>
      </c>
      <c r="J13" s="63"/>
    </row>
    <row r="14" spans="2:10" x14ac:dyDescent="0.3">
      <c r="B14" s="75" t="s">
        <v>194</v>
      </c>
      <c r="C14" s="20">
        <f t="shared" ref="C14:E14" si="1">+C10+C12+C13</f>
        <v>-474516.26000000013</v>
      </c>
      <c r="D14" s="20">
        <f>+D10+D12+D13</f>
        <v>-877797.67999999959</v>
      </c>
      <c r="E14" s="20">
        <f t="shared" si="1"/>
        <v>-61373.650000000227</v>
      </c>
      <c r="F14" s="20">
        <f>+F10+F12+F13</f>
        <v>-1282558.3799999997</v>
      </c>
      <c r="G14" s="20">
        <f>+G10+G12+G13</f>
        <v>-2286997.5099999998</v>
      </c>
      <c r="H14" s="20">
        <f>+H10+H12+H13</f>
        <v>-1163968.46</v>
      </c>
      <c r="I14" s="20">
        <f>+I10+I12+I13</f>
        <v>-1113690.8999999994</v>
      </c>
      <c r="J14" s="63"/>
    </row>
    <row r="15" spans="2:10" x14ac:dyDescent="0.3">
      <c r="B15" s="75" t="s">
        <v>196</v>
      </c>
      <c r="C15" s="57"/>
      <c r="D15" s="57"/>
      <c r="E15" s="57"/>
      <c r="F15" s="57"/>
      <c r="G15" s="57"/>
      <c r="H15" s="57"/>
      <c r="I15" s="20"/>
      <c r="J15" s="63"/>
    </row>
    <row r="16" spans="2:10" x14ac:dyDescent="0.3">
      <c r="B16" s="58"/>
      <c r="C16" s="57"/>
      <c r="D16" s="57"/>
      <c r="E16" s="57"/>
      <c r="F16" s="57"/>
      <c r="G16" s="57"/>
      <c r="H16" s="57"/>
      <c r="I16" s="57"/>
      <c r="J16" s="57"/>
    </row>
    <row r="17" spans="2:12" x14ac:dyDescent="0.3">
      <c r="B17" s="62" t="s">
        <v>169</v>
      </c>
      <c r="C17" s="62"/>
      <c r="D17" s="62"/>
      <c r="E17" s="62"/>
      <c r="F17" s="62"/>
      <c r="G17" s="62"/>
      <c r="H17" s="62"/>
      <c r="I17" s="62"/>
      <c r="K17" s="27"/>
    </row>
    <row r="18" spans="2:12" x14ac:dyDescent="0.3">
      <c r="B18" s="62" t="s">
        <v>195</v>
      </c>
      <c r="C18" s="45">
        <f>+C21+C10</f>
        <v>-4282756.91</v>
      </c>
      <c r="D18" s="45">
        <f t="shared" ref="D18:I18" si="2">+C18+D10</f>
        <v>-5206393.05</v>
      </c>
      <c r="E18" s="45">
        <f t="shared" si="2"/>
        <v>-5437722.79</v>
      </c>
      <c r="F18" s="45">
        <f t="shared" si="2"/>
        <v>-6512255.9299999997</v>
      </c>
      <c r="G18" s="45">
        <f t="shared" si="2"/>
        <v>-9541341.6099999994</v>
      </c>
      <c r="H18" s="45">
        <f t="shared" si="2"/>
        <v>-11735549.57</v>
      </c>
      <c r="I18" s="45">
        <f t="shared" si="2"/>
        <v>-14102507.550000001</v>
      </c>
      <c r="J18" s="27"/>
      <c r="L18" s="42" t="s">
        <v>170</v>
      </c>
    </row>
    <row r="19" spans="2:12" x14ac:dyDescent="0.3">
      <c r="C19" s="1"/>
      <c r="D19" s="1"/>
      <c r="E19" s="1"/>
      <c r="F19" s="1"/>
      <c r="G19" s="1"/>
      <c r="H19" s="1"/>
      <c r="I19" s="1"/>
      <c r="J19" s="42"/>
    </row>
    <row r="20" spans="2:12" x14ac:dyDescent="0.3">
      <c r="C20" s="1"/>
      <c r="D20" s="1"/>
      <c r="E20" s="1"/>
      <c r="F20" s="1"/>
      <c r="G20" s="1"/>
      <c r="H20" s="1"/>
      <c r="I20" s="1"/>
      <c r="J20" s="42"/>
    </row>
    <row r="21" spans="2:12" x14ac:dyDescent="0.3">
      <c r="B21" t="s">
        <v>168</v>
      </c>
      <c r="C21" s="1">
        <v>-3800000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42"/>
    </row>
    <row r="22" spans="2:12" x14ac:dyDescent="0.3">
      <c r="C22" s="1"/>
      <c r="D22" s="1"/>
      <c r="E22" s="1"/>
      <c r="F22" s="1"/>
      <c r="G22" s="1"/>
      <c r="H22" s="1"/>
      <c r="I22" s="1"/>
      <c r="J22" s="42"/>
    </row>
    <row r="23" spans="2:12" x14ac:dyDescent="0.3">
      <c r="B23" s="59" t="s">
        <v>171</v>
      </c>
      <c r="C23" s="60">
        <v>3800000</v>
      </c>
      <c r="D23" s="60">
        <v>240000</v>
      </c>
      <c r="E23" s="60">
        <v>900000</v>
      </c>
      <c r="F23" s="60">
        <v>200000</v>
      </c>
      <c r="G23" s="60">
        <f>1300000</f>
        <v>1300000</v>
      </c>
      <c r="H23" s="60">
        <f>1800000+623178</f>
        <v>2423178</v>
      </c>
      <c r="I23" s="60">
        <f>600000+800000</f>
        <v>1400000</v>
      </c>
      <c r="J23" s="61"/>
    </row>
    <row r="24" spans="2:12" x14ac:dyDescent="0.3">
      <c r="B24" s="42" t="s">
        <v>172</v>
      </c>
      <c r="C24" s="63">
        <f>+C23</f>
        <v>3800000</v>
      </c>
      <c r="D24" s="63">
        <f>+C24+D23</f>
        <v>4040000</v>
      </c>
      <c r="E24" s="63">
        <f>+D24+E23</f>
        <v>4940000</v>
      </c>
      <c r="F24" s="63">
        <f>+E24+F23</f>
        <v>5140000</v>
      </c>
      <c r="G24" s="63">
        <f t="shared" ref="G24:I24" si="3">+F24+G23</f>
        <v>6440000</v>
      </c>
      <c r="H24" s="63">
        <f t="shared" si="3"/>
        <v>8863178</v>
      </c>
      <c r="I24" s="63">
        <f t="shared" si="3"/>
        <v>10263178</v>
      </c>
      <c r="J24" s="56"/>
    </row>
    <row r="25" spans="2:12" x14ac:dyDescent="0.3">
      <c r="B25" s="42"/>
      <c r="C25" s="63"/>
      <c r="D25" s="63"/>
      <c r="E25" s="63"/>
      <c r="F25" s="63"/>
      <c r="G25" s="63"/>
      <c r="H25" s="63"/>
      <c r="I25" s="63"/>
      <c r="J25" s="58"/>
    </row>
    <row r="26" spans="2:12" x14ac:dyDescent="0.3">
      <c r="B26" s="42"/>
      <c r="C26" s="20"/>
      <c r="D26" s="20"/>
      <c r="E26" s="20"/>
      <c r="F26" s="20"/>
      <c r="G26" s="20"/>
      <c r="H26" s="20"/>
      <c r="I26" s="20"/>
    </row>
    <row r="27" spans="2:12" x14ac:dyDescent="0.3">
      <c r="B27" s="42" t="s">
        <v>173</v>
      </c>
      <c r="C27" s="20">
        <v>0</v>
      </c>
      <c r="D27" s="20">
        <f t="shared" ref="D27:I27" si="4">+C32</f>
        <v>-3790864.55</v>
      </c>
      <c r="E27" s="20">
        <f t="shared" si="4"/>
        <v>-4088743.1799999997</v>
      </c>
      <c r="F27" s="20">
        <f t="shared" si="4"/>
        <v>-5127058.5799999991</v>
      </c>
      <c r="G27" s="20">
        <f t="shared" si="4"/>
        <v>-5186287.22</v>
      </c>
      <c r="H27" s="20">
        <f t="shared" si="4"/>
        <v>-7344068.21</v>
      </c>
      <c r="I27" s="20">
        <f t="shared" si="4"/>
        <v>-10873909.610000001</v>
      </c>
    </row>
    <row r="28" spans="2:12" x14ac:dyDescent="0.3">
      <c r="B28" s="42" t="s">
        <v>184</v>
      </c>
      <c r="C28" s="20">
        <f t="shared" ref="C28:I28" si="5">-C23</f>
        <v>-3800000</v>
      </c>
      <c r="D28" s="20">
        <f t="shared" si="5"/>
        <v>-240000</v>
      </c>
      <c r="E28" s="20">
        <f t="shared" si="5"/>
        <v>-900000</v>
      </c>
      <c r="F28" s="20">
        <f t="shared" si="5"/>
        <v>-200000</v>
      </c>
      <c r="G28" s="20">
        <f t="shared" si="5"/>
        <v>-1300000</v>
      </c>
      <c r="H28" s="20">
        <f t="shared" si="5"/>
        <v>-2423178</v>
      </c>
      <c r="I28" s="20">
        <f t="shared" si="5"/>
        <v>-1400000</v>
      </c>
      <c r="J28" s="27"/>
    </row>
    <row r="29" spans="2:12" x14ac:dyDescent="0.3">
      <c r="B29" s="42" t="s">
        <v>174</v>
      </c>
      <c r="C29" s="20">
        <f>-8240.66+0.01</f>
        <v>-8240.65</v>
      </c>
      <c r="D29" s="20">
        <v>-52367.96</v>
      </c>
      <c r="E29" s="20">
        <f>-88222.48+0.01</f>
        <v>-88222.47</v>
      </c>
      <c r="F29" s="20">
        <f>132353.27-0.01</f>
        <v>132353.25999999998</v>
      </c>
      <c r="G29" s="20">
        <v>-822559.63</v>
      </c>
      <c r="H29" s="20">
        <v>-1094340.01</v>
      </c>
      <c r="I29" s="20">
        <v>-1261744.94</v>
      </c>
      <c r="J29" s="27"/>
    </row>
    <row r="30" spans="2:12" x14ac:dyDescent="0.3">
      <c r="B30" s="69" t="s">
        <v>175</v>
      </c>
      <c r="C30" s="44">
        <v>17376.099999999999</v>
      </c>
      <c r="D30" s="44">
        <v>-5510.67</v>
      </c>
      <c r="E30" s="44">
        <f>-50092.93</f>
        <v>-50092.93</v>
      </c>
      <c r="F30" s="44">
        <v>8418.1</v>
      </c>
      <c r="G30" s="44">
        <v>-35221.360000000001</v>
      </c>
      <c r="H30" s="44">
        <v>-12323.39</v>
      </c>
      <c r="I30" s="44">
        <v>21870.93</v>
      </c>
    </row>
    <row r="31" spans="2:12" x14ac:dyDescent="0.3">
      <c r="B31" s="59"/>
      <c r="C31" s="54"/>
      <c r="D31" s="54"/>
      <c r="E31" s="54"/>
      <c r="F31" s="54"/>
      <c r="G31" s="54"/>
      <c r="H31" s="54"/>
      <c r="I31" s="54"/>
    </row>
    <row r="32" spans="2:12" x14ac:dyDescent="0.3">
      <c r="B32" s="76" t="s">
        <v>189</v>
      </c>
      <c r="C32" s="77">
        <f>SUM(C27:C30)</f>
        <v>-3790864.55</v>
      </c>
      <c r="D32" s="77">
        <f t="shared" ref="D32:I32" si="6">SUM(D27:D30)</f>
        <v>-4088743.1799999997</v>
      </c>
      <c r="E32" s="77">
        <f t="shared" si="6"/>
        <v>-5127058.5799999991</v>
      </c>
      <c r="F32" s="77">
        <f t="shared" si="6"/>
        <v>-5186287.22</v>
      </c>
      <c r="G32" s="77">
        <f t="shared" si="6"/>
        <v>-7344068.21</v>
      </c>
      <c r="H32" s="77">
        <f t="shared" si="6"/>
        <v>-10873909.610000001</v>
      </c>
      <c r="I32" s="77">
        <f t="shared" si="6"/>
        <v>-13513783.620000001</v>
      </c>
      <c r="J32" s="27">
        <f>-'2021 Bal Sht'!S16</f>
        <v>-13404201.880000001</v>
      </c>
      <c r="L32" t="s">
        <v>186</v>
      </c>
    </row>
    <row r="33" spans="2:10" x14ac:dyDescent="0.3">
      <c r="B33" s="68"/>
      <c r="C33" s="43"/>
      <c r="D33" s="43"/>
      <c r="E33" s="43"/>
      <c r="F33" s="43"/>
      <c r="G33" s="43"/>
      <c r="H33" s="43"/>
      <c r="I33" s="43"/>
      <c r="J33" s="27">
        <f>+I18-J32</f>
        <v>-698305.66999999993</v>
      </c>
    </row>
    <row r="34" spans="2:10" x14ac:dyDescent="0.3">
      <c r="B34" s="42" t="s">
        <v>191</v>
      </c>
      <c r="C34" s="57"/>
      <c r="D34" s="57"/>
      <c r="E34" s="57"/>
      <c r="F34" s="57"/>
      <c r="G34" s="57"/>
      <c r="H34" s="57"/>
      <c r="I34" s="57"/>
    </row>
    <row r="35" spans="2:10" x14ac:dyDescent="0.3">
      <c r="B35" s="42" t="s">
        <v>192</v>
      </c>
      <c r="C35" s="55">
        <f t="shared" ref="C35:I35" si="7">+C18-C32</f>
        <v>-491892.36000000034</v>
      </c>
      <c r="D35" s="55">
        <f t="shared" si="7"/>
        <v>-1117649.8700000001</v>
      </c>
      <c r="E35" s="55">
        <f t="shared" si="7"/>
        <v>-310664.21000000089</v>
      </c>
      <c r="F35" s="55">
        <f t="shared" si="7"/>
        <v>-1325968.71</v>
      </c>
      <c r="G35" s="55">
        <f t="shared" si="7"/>
        <v>-2197273.3999999994</v>
      </c>
      <c r="H35" s="55">
        <f t="shared" si="7"/>
        <v>-861639.95999999903</v>
      </c>
      <c r="I35" s="55">
        <f t="shared" si="7"/>
        <v>-588723.9299999997</v>
      </c>
      <c r="J35" s="27">
        <f>+I18-J32</f>
        <v>-698305.66999999993</v>
      </c>
    </row>
    <row r="36" spans="2:10" x14ac:dyDescent="0.3">
      <c r="B36" s="42"/>
      <c r="C36" s="60"/>
      <c r="D36" s="60"/>
      <c r="E36" s="60"/>
      <c r="F36" s="60"/>
      <c r="G36" s="60"/>
      <c r="H36" s="60"/>
      <c r="I36" s="60"/>
    </row>
    <row r="37" spans="2:10" x14ac:dyDescent="0.3">
      <c r="B37" s="78" t="s">
        <v>188</v>
      </c>
      <c r="C37" s="79">
        <f>+C35+C32</f>
        <v>-4282756.91</v>
      </c>
      <c r="D37" s="79">
        <f t="shared" ref="D37:I37" si="8">+D35+D32</f>
        <v>-5206393.05</v>
      </c>
      <c r="E37" s="79">
        <f t="shared" si="8"/>
        <v>-5437722.79</v>
      </c>
      <c r="F37" s="79">
        <f t="shared" si="8"/>
        <v>-6512255.9299999997</v>
      </c>
      <c r="G37" s="79">
        <f t="shared" si="8"/>
        <v>-9541341.6099999994</v>
      </c>
      <c r="H37" s="79">
        <f t="shared" si="8"/>
        <v>-11735549.57</v>
      </c>
      <c r="I37" s="79">
        <f t="shared" si="8"/>
        <v>-14102507.550000001</v>
      </c>
    </row>
    <row r="38" spans="2:10" x14ac:dyDescent="0.3">
      <c r="B38" s="42"/>
      <c r="C38" s="57"/>
      <c r="D38" s="57"/>
      <c r="E38" s="57"/>
      <c r="F38" s="57"/>
      <c r="G38" s="57"/>
      <c r="H38" s="57"/>
      <c r="I38" s="57"/>
    </row>
    <row r="39" spans="2:10" x14ac:dyDescent="0.3">
      <c r="B39" s="42"/>
      <c r="C39" s="57"/>
      <c r="D39" s="57"/>
      <c r="E39" s="57"/>
      <c r="F39" s="57"/>
      <c r="G39" s="57"/>
      <c r="H39" s="57"/>
      <c r="I39" s="57"/>
    </row>
    <row r="40" spans="2:10" x14ac:dyDescent="0.3">
      <c r="C40" s="1"/>
      <c r="D40" s="1"/>
      <c r="E40" s="1"/>
      <c r="F40" s="1"/>
      <c r="G40" s="1"/>
      <c r="I40" s="1"/>
    </row>
    <row r="41" spans="2:10" x14ac:dyDescent="0.3">
      <c r="B41" s="46" t="s">
        <v>176</v>
      </c>
      <c r="C41" s="47" t="s">
        <v>177</v>
      </c>
      <c r="D41" s="66" t="s">
        <v>178</v>
      </c>
      <c r="E41" s="48"/>
      <c r="F41" s="48"/>
      <c r="G41" s="49"/>
      <c r="I41" s="1"/>
    </row>
    <row r="42" spans="2:10" x14ac:dyDescent="0.3">
      <c r="B42" s="50" t="s">
        <v>87</v>
      </c>
      <c r="C42" s="51" t="s">
        <v>179</v>
      </c>
      <c r="D42" s="67" t="s">
        <v>180</v>
      </c>
      <c r="E42" s="44"/>
      <c r="F42" s="44"/>
      <c r="G42" s="52"/>
      <c r="I42" s="1"/>
    </row>
    <row r="43" spans="2:10" x14ac:dyDescent="0.3">
      <c r="B43" s="53">
        <v>42279</v>
      </c>
      <c r="C43" s="1">
        <v>3800000</v>
      </c>
      <c r="D43" s="1"/>
      <c r="E43" s="1"/>
      <c r="F43" s="1"/>
      <c r="G43" s="1"/>
      <c r="I43" s="1"/>
    </row>
    <row r="44" spans="2:10" x14ac:dyDescent="0.3">
      <c r="B44" s="53">
        <v>42513</v>
      </c>
      <c r="C44" s="1">
        <v>240000</v>
      </c>
      <c r="D44" s="1"/>
      <c r="E44" s="1"/>
      <c r="F44" s="1"/>
      <c r="G44" s="1"/>
      <c r="I44" s="1"/>
    </row>
    <row r="45" spans="2:10" x14ac:dyDescent="0.3">
      <c r="B45" s="53">
        <v>42815</v>
      </c>
      <c r="C45" s="1">
        <v>900000</v>
      </c>
      <c r="D45" s="1"/>
      <c r="E45" s="1"/>
      <c r="F45" s="1"/>
      <c r="G45" s="1"/>
      <c r="I45" s="1"/>
    </row>
    <row r="46" spans="2:10" x14ac:dyDescent="0.3">
      <c r="B46" s="53">
        <v>43229</v>
      </c>
      <c r="C46" s="1">
        <v>200000</v>
      </c>
      <c r="D46" s="1"/>
      <c r="E46" s="1"/>
      <c r="F46" s="1"/>
      <c r="G46" s="1"/>
      <c r="I46" s="1"/>
    </row>
    <row r="47" spans="2:10" x14ac:dyDescent="0.3">
      <c r="B47" s="53">
        <v>43518</v>
      </c>
      <c r="C47" s="1">
        <v>1300000</v>
      </c>
      <c r="D47" s="1"/>
      <c r="E47" s="1"/>
      <c r="F47" s="1"/>
      <c r="G47" s="1"/>
      <c r="I47" s="1"/>
    </row>
    <row r="48" spans="2:10" x14ac:dyDescent="0.3">
      <c r="B48" s="53">
        <v>43962</v>
      </c>
      <c r="C48" s="1">
        <v>623178</v>
      </c>
      <c r="D48" s="1" t="s">
        <v>187</v>
      </c>
      <c r="E48" s="1"/>
      <c r="F48" s="1"/>
      <c r="G48" s="1"/>
      <c r="I48" s="1"/>
    </row>
    <row r="49" spans="2:9" x14ac:dyDescent="0.3">
      <c r="B49" s="53">
        <v>44061</v>
      </c>
      <c r="C49" s="1">
        <v>1800000</v>
      </c>
      <c r="D49" s="1"/>
      <c r="E49" s="1"/>
      <c r="F49" s="1"/>
      <c r="G49" s="1"/>
      <c r="I49" s="1"/>
    </row>
    <row r="50" spans="2:9" x14ac:dyDescent="0.3">
      <c r="B50" s="53">
        <v>44245</v>
      </c>
      <c r="C50" s="1">
        <v>600000</v>
      </c>
      <c r="D50" s="1"/>
      <c r="E50" s="1"/>
      <c r="F50" s="1"/>
      <c r="G50" s="1"/>
      <c r="I50" s="1"/>
    </row>
    <row r="51" spans="2:9" ht="16.2" x14ac:dyDescent="0.45">
      <c r="B51" s="53">
        <v>44383</v>
      </c>
      <c r="C51" s="34">
        <v>800000</v>
      </c>
      <c r="D51" s="1"/>
      <c r="E51" s="1"/>
      <c r="F51" s="1"/>
      <c r="G51" s="1"/>
      <c r="H51" s="1"/>
      <c r="I51" s="1"/>
    </row>
    <row r="52" spans="2:9" x14ac:dyDescent="0.3">
      <c r="D52" s="1"/>
      <c r="E52" s="1"/>
      <c r="F52" s="1"/>
      <c r="G52" s="1"/>
      <c r="H52" s="1"/>
      <c r="I52" s="1"/>
    </row>
    <row r="53" spans="2:9" x14ac:dyDescent="0.3">
      <c r="B53" t="s">
        <v>8</v>
      </c>
      <c r="C53" s="1">
        <f>SUM(C43:C51)</f>
        <v>10263178</v>
      </c>
      <c r="D53" s="1"/>
      <c r="E53" s="1"/>
      <c r="F53" s="1"/>
      <c r="G53" s="1"/>
      <c r="H53" s="1"/>
      <c r="I53" s="1"/>
    </row>
    <row r="54" spans="2:9" x14ac:dyDescent="0.3">
      <c r="C54" s="1"/>
      <c r="D54" s="1"/>
      <c r="E54" s="1"/>
      <c r="F54" s="1"/>
      <c r="G54" s="1"/>
      <c r="H54" s="1"/>
      <c r="I54" s="1"/>
    </row>
    <row r="55" spans="2:9" x14ac:dyDescent="0.3">
      <c r="B55" s="46" t="s">
        <v>181</v>
      </c>
      <c r="C55" s="48"/>
      <c r="D55" s="64" t="s">
        <v>178</v>
      </c>
      <c r="E55" s="48"/>
      <c r="F55" s="48"/>
      <c r="G55" s="49"/>
      <c r="H55" s="1"/>
      <c r="I55" s="1"/>
    </row>
    <row r="56" spans="2:9" x14ac:dyDescent="0.3">
      <c r="B56" s="50" t="s">
        <v>89</v>
      </c>
      <c r="C56" s="51" t="s">
        <v>182</v>
      </c>
      <c r="D56" s="65" t="s">
        <v>183</v>
      </c>
      <c r="E56" s="44"/>
      <c r="F56" s="44"/>
      <c r="G56" s="52"/>
      <c r="H56" s="1"/>
      <c r="I56" s="1"/>
    </row>
    <row r="57" spans="2:9" x14ac:dyDescent="0.3">
      <c r="B57" s="35">
        <v>2015</v>
      </c>
      <c r="C57" s="54"/>
    </row>
    <row r="58" spans="2:9" x14ac:dyDescent="0.3">
      <c r="B58" s="35">
        <v>2016</v>
      </c>
      <c r="C58" s="41"/>
    </row>
    <row r="59" spans="2:9" x14ac:dyDescent="0.3">
      <c r="B59" s="35">
        <v>2017</v>
      </c>
      <c r="C59" s="41"/>
    </row>
    <row r="60" spans="2:9" x14ac:dyDescent="0.3">
      <c r="B60" s="35">
        <v>2018</v>
      </c>
      <c r="C60" s="41"/>
    </row>
    <row r="61" spans="2:9" x14ac:dyDescent="0.3">
      <c r="B61" s="35">
        <v>2019</v>
      </c>
      <c r="C61" s="41"/>
    </row>
    <row r="62" spans="2:9" x14ac:dyDescent="0.3">
      <c r="B62" s="35">
        <v>2020</v>
      </c>
      <c r="C62" s="41"/>
    </row>
    <row r="63" spans="2:9" x14ac:dyDescent="0.3">
      <c r="B63" s="35">
        <v>2021</v>
      </c>
      <c r="C63" s="41"/>
    </row>
    <row r="64" spans="2:9" x14ac:dyDescent="0.3">
      <c r="B64" s="35"/>
      <c r="C64" s="1"/>
    </row>
    <row r="65" spans="2:3" x14ac:dyDescent="0.3">
      <c r="B65" s="35"/>
      <c r="C65" s="1"/>
    </row>
    <row r="66" spans="2:3" x14ac:dyDescent="0.3">
      <c r="B66" s="35"/>
      <c r="C66" s="1"/>
    </row>
    <row r="67" spans="2:3" x14ac:dyDescent="0.3">
      <c r="B67" s="35"/>
      <c r="C67" s="1"/>
    </row>
    <row r="68" spans="2:3" x14ac:dyDescent="0.3">
      <c r="C68" s="1"/>
    </row>
    <row r="69" spans="2:3" x14ac:dyDescent="0.3">
      <c r="C69" s="1"/>
    </row>
    <row r="70" spans="2:3" x14ac:dyDescent="0.3">
      <c r="C70" s="1"/>
    </row>
    <row r="71" spans="2:3" x14ac:dyDescent="0.3">
      <c r="C71" s="1"/>
    </row>
    <row r="72" spans="2:3" x14ac:dyDescent="0.3">
      <c r="C72" s="1"/>
    </row>
  </sheetData>
  <pageMargins left="0.7" right="0.7" top="0.75" bottom="0.75" header="0.3" footer="0.3"/>
  <pageSetup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FE29-7DB1-4C30-A495-2FCCA207E554}">
  <dimension ref="S16:S38"/>
  <sheetViews>
    <sheetView workbookViewId="0"/>
  </sheetViews>
  <sheetFormatPr defaultRowHeight="14.4" x14ac:dyDescent="0.3"/>
  <cols>
    <col min="19" max="19" width="15.6640625" style="1" customWidth="1"/>
  </cols>
  <sheetData>
    <row r="16" spans="19:19" x14ac:dyDescent="0.3">
      <c r="S16" s="1">
        <v>13404201.880000001</v>
      </c>
    </row>
    <row r="35" spans="19:19" x14ac:dyDescent="0.3">
      <c r="S35" s="1">
        <v>-14102507.550000001</v>
      </c>
    </row>
    <row r="38" spans="19:19" x14ac:dyDescent="0.3">
      <c r="S38" s="12">
        <f>+S35+S16</f>
        <v>-698305.66999999993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8486-93A6-4CE1-B946-5A934CACC055}">
  <dimension ref="A3:I26"/>
  <sheetViews>
    <sheetView workbookViewId="0"/>
  </sheetViews>
  <sheetFormatPr defaultRowHeight="14.4" x14ac:dyDescent="0.3"/>
  <cols>
    <col min="1" max="1" width="14.44140625" bestFit="1" customWidth="1"/>
    <col min="2" max="2" width="13" bestFit="1" customWidth="1"/>
    <col min="3" max="3" width="10.21875" bestFit="1" customWidth="1"/>
    <col min="4" max="4" width="31" bestFit="1" customWidth="1"/>
    <col min="5" max="5" width="9.21875" bestFit="1" customWidth="1"/>
    <col min="6" max="6" width="13.88671875" bestFit="1" customWidth="1"/>
    <col min="7" max="7" width="28.77734375" customWidth="1"/>
    <col min="8" max="8" width="20.21875" style="1" customWidth="1"/>
    <col min="9" max="9" width="14.5546875" customWidth="1"/>
  </cols>
  <sheetData>
    <row r="3" spans="1:9" x14ac:dyDescent="0.3">
      <c r="A3" s="25" t="s">
        <v>154</v>
      </c>
    </row>
    <row r="4" spans="1:9" x14ac:dyDescent="0.3">
      <c r="A4" s="25" t="s">
        <v>4</v>
      </c>
      <c r="B4" s="25" t="s">
        <v>5</v>
      </c>
      <c r="C4" s="25" t="s">
        <v>6</v>
      </c>
      <c r="D4" s="25" t="s">
        <v>94</v>
      </c>
      <c r="E4" s="25" t="s">
        <v>87</v>
      </c>
      <c r="F4" s="25" t="s">
        <v>88</v>
      </c>
      <c r="G4" s="25" t="s">
        <v>103</v>
      </c>
      <c r="H4" s="1" t="s">
        <v>8</v>
      </c>
    </row>
    <row r="5" spans="1:9" x14ac:dyDescent="0.3">
      <c r="A5" t="s">
        <v>9</v>
      </c>
      <c r="B5" t="s">
        <v>10</v>
      </c>
      <c r="C5" t="s">
        <v>108</v>
      </c>
      <c r="D5" t="s">
        <v>109</v>
      </c>
      <c r="E5" s="24" t="s">
        <v>139</v>
      </c>
      <c r="F5" t="s">
        <v>106</v>
      </c>
      <c r="G5" t="s">
        <v>109</v>
      </c>
      <c r="H5" s="1">
        <v>24122</v>
      </c>
    </row>
    <row r="6" spans="1:9" x14ac:dyDescent="0.3">
      <c r="B6" t="s">
        <v>137</v>
      </c>
      <c r="C6" t="s">
        <v>108</v>
      </c>
      <c r="D6" t="s">
        <v>109</v>
      </c>
      <c r="E6" s="24" t="s">
        <v>139</v>
      </c>
      <c r="F6" t="s">
        <v>106</v>
      </c>
      <c r="G6" t="s">
        <v>109</v>
      </c>
      <c r="H6" s="1">
        <v>10726812.799999999</v>
      </c>
      <c r="I6" s="1">
        <f>+GETPIVOTDATA("Amount",$A$3,"Date",1,"Journal ID","CLO0042299","Fund","995","Dept",,"Account","103055","AccountDescr","Cash-HeldByTrustee-OPEB Invest","Line Descr","Cash-HeldByTrustee-OPEB Invest")+GETPIVOTDATA("Amount",$A$3,"Date",1,"Journal ID","CLO0042299","Fund","995","Dept","5308000000","Account","103055","AccountDescr","Cash-HeldByTrustee-OPEB Invest","Line Descr","Cash-HeldByTrustee-OPEB Invest")</f>
        <v>10750934.799999999</v>
      </c>
    </row>
    <row r="7" spans="1:9" x14ac:dyDescent="0.3">
      <c r="E7" s="24" t="s">
        <v>140</v>
      </c>
      <c r="F7" t="s">
        <v>118</v>
      </c>
      <c r="G7" t="s">
        <v>120</v>
      </c>
      <c r="H7" s="26">
        <v>2610.2600000000002</v>
      </c>
    </row>
    <row r="8" spans="1:9" x14ac:dyDescent="0.3">
      <c r="E8" s="24" t="s">
        <v>141</v>
      </c>
      <c r="F8" t="s">
        <v>121</v>
      </c>
      <c r="G8" t="s">
        <v>120</v>
      </c>
      <c r="H8" s="26">
        <v>6332.98</v>
      </c>
    </row>
    <row r="9" spans="1:9" x14ac:dyDescent="0.3">
      <c r="E9" s="24" t="s">
        <v>142</v>
      </c>
      <c r="F9" t="s">
        <v>122</v>
      </c>
      <c r="G9" t="s">
        <v>120</v>
      </c>
      <c r="H9" s="26">
        <v>24820.87</v>
      </c>
    </row>
    <row r="10" spans="1:9" x14ac:dyDescent="0.3">
      <c r="E10" s="24" t="s">
        <v>143</v>
      </c>
      <c r="F10" t="s">
        <v>123</v>
      </c>
      <c r="G10" t="s">
        <v>120</v>
      </c>
      <c r="H10" s="26">
        <v>6476.6</v>
      </c>
    </row>
    <row r="11" spans="1:9" x14ac:dyDescent="0.3">
      <c r="E11" s="24" t="s">
        <v>144</v>
      </c>
      <c r="F11" t="s">
        <v>124</v>
      </c>
      <c r="G11" t="s">
        <v>120</v>
      </c>
      <c r="H11" s="26">
        <v>7494.08</v>
      </c>
    </row>
    <row r="12" spans="1:9" x14ac:dyDescent="0.3">
      <c r="F12" t="s">
        <v>125</v>
      </c>
      <c r="G12" t="s">
        <v>126</v>
      </c>
      <c r="H12" s="12">
        <v>600000</v>
      </c>
    </row>
    <row r="13" spans="1:9" x14ac:dyDescent="0.3">
      <c r="E13" s="24" t="s">
        <v>145</v>
      </c>
      <c r="F13" t="s">
        <v>127</v>
      </c>
      <c r="G13" t="s">
        <v>120</v>
      </c>
      <c r="H13" s="26">
        <v>32974.26</v>
      </c>
    </row>
    <row r="14" spans="1:9" x14ac:dyDescent="0.3">
      <c r="E14" s="24" t="s">
        <v>146</v>
      </c>
      <c r="F14" t="s">
        <v>125</v>
      </c>
      <c r="G14" t="s">
        <v>126</v>
      </c>
      <c r="H14" s="12">
        <v>800000</v>
      </c>
      <c r="I14" s="12">
        <f>H12+H14</f>
        <v>1400000</v>
      </c>
    </row>
    <row r="15" spans="1:9" x14ac:dyDescent="0.3">
      <c r="E15" s="24" t="s">
        <v>147</v>
      </c>
      <c r="F15" t="s">
        <v>128</v>
      </c>
      <c r="G15" t="s">
        <v>120</v>
      </c>
      <c r="H15" s="26">
        <v>7661.01</v>
      </c>
    </row>
    <row r="16" spans="1:9" x14ac:dyDescent="0.3">
      <c r="E16" s="24" t="s">
        <v>148</v>
      </c>
      <c r="F16" t="s">
        <v>129</v>
      </c>
      <c r="G16" t="s">
        <v>120</v>
      </c>
      <c r="H16" s="26">
        <v>7952.59</v>
      </c>
    </row>
    <row r="17" spans="1:9" x14ac:dyDescent="0.3">
      <c r="E17" s="24" t="s">
        <v>149</v>
      </c>
      <c r="F17" t="s">
        <v>130</v>
      </c>
      <c r="G17" t="s">
        <v>120</v>
      </c>
      <c r="H17" s="26">
        <v>31656.6</v>
      </c>
    </row>
    <row r="18" spans="1:9" x14ac:dyDescent="0.3">
      <c r="E18" s="24" t="s">
        <v>150</v>
      </c>
      <c r="F18" t="s">
        <v>131</v>
      </c>
      <c r="G18" t="s">
        <v>120</v>
      </c>
      <c r="H18" s="26">
        <v>-853.91</v>
      </c>
    </row>
    <row r="19" spans="1:9" x14ac:dyDescent="0.3">
      <c r="E19" s="24" t="s">
        <v>151</v>
      </c>
      <c r="F19" t="s">
        <v>132</v>
      </c>
      <c r="G19" t="s">
        <v>120</v>
      </c>
      <c r="H19" s="26">
        <v>7863.94</v>
      </c>
    </row>
    <row r="20" spans="1:9" x14ac:dyDescent="0.3">
      <c r="E20" s="24" t="s">
        <v>152</v>
      </c>
      <c r="F20" t="s">
        <v>133</v>
      </c>
      <c r="G20" t="s">
        <v>120</v>
      </c>
      <c r="H20" s="26">
        <v>7419.63</v>
      </c>
    </row>
    <row r="21" spans="1:9" x14ac:dyDescent="0.3">
      <c r="E21" s="24" t="s">
        <v>153</v>
      </c>
      <c r="F21" t="s">
        <v>134</v>
      </c>
      <c r="G21" t="s">
        <v>120</v>
      </c>
      <c r="H21" s="26">
        <v>52105.62</v>
      </c>
      <c r="I21" s="28">
        <f>SUM(H7:H21)-H12-H14</f>
        <v>194514.53000000026</v>
      </c>
    </row>
    <row r="22" spans="1:9" x14ac:dyDescent="0.3">
      <c r="F22" t="s">
        <v>135</v>
      </c>
      <c r="G22" t="s">
        <v>136</v>
      </c>
      <c r="H22" s="31">
        <v>1058752.55</v>
      </c>
      <c r="I22" s="27"/>
    </row>
    <row r="23" spans="1:9" x14ac:dyDescent="0.3">
      <c r="A23" t="s">
        <v>138</v>
      </c>
      <c r="H23" s="1">
        <v>13404201.879999997</v>
      </c>
      <c r="I23" s="27"/>
    </row>
    <row r="24" spans="1:9" x14ac:dyDescent="0.3">
      <c r="A24" t="s">
        <v>33</v>
      </c>
      <c r="H24" s="1">
        <v>13404201.879999997</v>
      </c>
      <c r="I24" t="s">
        <v>163</v>
      </c>
    </row>
    <row r="26" spans="1:9" x14ac:dyDescent="0.3">
      <c r="H26" s="1">
        <f>+GETPIVOTDATA("Amount",$A$3)-'2022 Bal Sht'!S15</f>
        <v>-9606.8400000035763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F52E-C667-47CA-B2C5-138153B478BA}">
  <dimension ref="A1:V26"/>
  <sheetViews>
    <sheetView workbookViewId="0"/>
  </sheetViews>
  <sheetFormatPr defaultColWidth="9.77734375" defaultRowHeight="14.4" x14ac:dyDescent="0.3"/>
  <cols>
    <col min="1" max="1" width="25.33203125" style="24" customWidth="1"/>
    <col min="2" max="2" width="25.33203125" customWidth="1"/>
    <col min="3" max="3" width="11.44140625" style="22" customWidth="1"/>
    <col min="4" max="4" width="20.6640625" customWidth="1"/>
    <col min="5" max="5" width="13.77734375" customWidth="1"/>
    <col min="6" max="6" width="71.33203125" customWidth="1"/>
    <col min="7" max="7" width="20.6640625" customWidth="1"/>
    <col min="8" max="8" width="25.33203125" customWidth="1"/>
    <col min="9" max="9" width="71.33203125" customWidth="1"/>
    <col min="10" max="10" width="25.33203125" customWidth="1"/>
    <col min="11" max="11" width="71.33203125" customWidth="1"/>
    <col min="12" max="12" width="16.109375" customWidth="1"/>
    <col min="13" max="13" width="71.33203125" customWidth="1"/>
    <col min="14" max="14" width="92" customWidth="1"/>
    <col min="15" max="15" width="25.33203125" customWidth="1"/>
    <col min="16" max="17" width="36.77734375" customWidth="1"/>
    <col min="18" max="18" width="16.109375" customWidth="1"/>
    <col min="19" max="19" width="25.33203125" customWidth="1"/>
    <col min="20" max="20" width="71.33203125" customWidth="1"/>
    <col min="21" max="21" width="66.6640625" style="23" customWidth="1"/>
    <col min="22" max="22" width="13.77734375" style="22" customWidth="1"/>
  </cols>
  <sheetData>
    <row r="1" spans="1:22" ht="15.6" thickTop="1" thickBot="1" x14ac:dyDescent="0.35">
      <c r="A1" s="21" t="s">
        <v>85</v>
      </c>
      <c r="B1" t="s">
        <v>86</v>
      </c>
    </row>
    <row r="2" spans="1:22" ht="15.6" thickTop="1" thickBot="1" x14ac:dyDescent="0.35">
      <c r="A2" s="21" t="s">
        <v>87</v>
      </c>
      <c r="B2" s="21" t="s">
        <v>88</v>
      </c>
      <c r="C2" s="21" t="s">
        <v>89</v>
      </c>
      <c r="D2" s="21" t="s">
        <v>90</v>
      </c>
      <c r="E2" s="21" t="s">
        <v>4</v>
      </c>
      <c r="F2" s="21" t="s">
        <v>91</v>
      </c>
      <c r="G2" s="21" t="s">
        <v>92</v>
      </c>
      <c r="H2" s="21" t="s">
        <v>5</v>
      </c>
      <c r="I2" s="21" t="s">
        <v>93</v>
      </c>
      <c r="J2" s="21" t="s">
        <v>6</v>
      </c>
      <c r="K2" s="21" t="s">
        <v>94</v>
      </c>
      <c r="L2" s="21" t="s">
        <v>95</v>
      </c>
      <c r="M2" s="21" t="s">
        <v>96</v>
      </c>
      <c r="N2" s="21" t="s">
        <v>97</v>
      </c>
      <c r="O2" s="21" t="s">
        <v>98</v>
      </c>
      <c r="P2" s="21" t="s">
        <v>99</v>
      </c>
      <c r="Q2" s="21" t="s">
        <v>100</v>
      </c>
      <c r="R2" s="21" t="s">
        <v>101</v>
      </c>
      <c r="S2" s="21" t="s">
        <v>102</v>
      </c>
      <c r="T2" s="21" t="s">
        <v>103</v>
      </c>
      <c r="U2" s="21" t="s">
        <v>104</v>
      </c>
      <c r="V2" s="21" t="s">
        <v>105</v>
      </c>
    </row>
    <row r="3" spans="1:22" ht="15" thickTop="1" x14ac:dyDescent="0.3">
      <c r="A3" s="24">
        <v>44197</v>
      </c>
      <c r="B3" t="s">
        <v>106</v>
      </c>
      <c r="C3" s="22">
        <v>2021</v>
      </c>
      <c r="E3" t="s">
        <v>9</v>
      </c>
      <c r="F3" t="s">
        <v>107</v>
      </c>
      <c r="J3" t="s">
        <v>108</v>
      </c>
      <c r="K3" t="s">
        <v>109</v>
      </c>
      <c r="T3" t="s">
        <v>109</v>
      </c>
      <c r="U3" s="23">
        <v>709092.25</v>
      </c>
      <c r="V3" s="22">
        <v>0</v>
      </c>
    </row>
    <row r="4" spans="1:22" x14ac:dyDescent="0.3">
      <c r="A4" s="24">
        <v>44197</v>
      </c>
      <c r="B4" t="s">
        <v>106</v>
      </c>
      <c r="C4" s="22">
        <v>2021</v>
      </c>
      <c r="D4" t="s">
        <v>110</v>
      </c>
      <c r="E4" t="s">
        <v>9</v>
      </c>
      <c r="F4" t="s">
        <v>107</v>
      </c>
      <c r="J4" t="s">
        <v>108</v>
      </c>
      <c r="K4" t="s">
        <v>109</v>
      </c>
      <c r="T4" t="s">
        <v>109</v>
      </c>
      <c r="U4" s="23">
        <v>3759382</v>
      </c>
      <c r="V4" s="22">
        <v>0</v>
      </c>
    </row>
    <row r="5" spans="1:22" x14ac:dyDescent="0.3">
      <c r="A5" s="24">
        <v>44197</v>
      </c>
      <c r="B5" t="s">
        <v>106</v>
      </c>
      <c r="C5" s="22">
        <v>2021</v>
      </c>
      <c r="D5" t="s">
        <v>111</v>
      </c>
      <c r="E5" t="s">
        <v>9</v>
      </c>
      <c r="F5" t="s">
        <v>107</v>
      </c>
      <c r="J5" t="s">
        <v>108</v>
      </c>
      <c r="K5" t="s">
        <v>109</v>
      </c>
      <c r="T5" t="s">
        <v>109</v>
      </c>
      <c r="U5" s="23">
        <v>296429.83</v>
      </c>
      <c r="V5" s="22">
        <v>0</v>
      </c>
    </row>
    <row r="6" spans="1:22" x14ac:dyDescent="0.3">
      <c r="A6" s="24">
        <v>44197</v>
      </c>
      <c r="B6" t="s">
        <v>106</v>
      </c>
      <c r="C6" s="22">
        <v>2021</v>
      </c>
      <c r="D6" t="s">
        <v>112</v>
      </c>
      <c r="E6" t="s">
        <v>9</v>
      </c>
      <c r="F6" t="s">
        <v>107</v>
      </c>
      <c r="J6" t="s">
        <v>108</v>
      </c>
      <c r="K6" t="s">
        <v>109</v>
      </c>
      <c r="T6" t="s">
        <v>109</v>
      </c>
      <c r="U6" s="23">
        <v>1034680.1</v>
      </c>
      <c r="V6" s="22">
        <v>0</v>
      </c>
    </row>
    <row r="7" spans="1:22" x14ac:dyDescent="0.3">
      <c r="A7" s="24">
        <v>44197</v>
      </c>
      <c r="B7" t="s">
        <v>106</v>
      </c>
      <c r="C7" s="22">
        <v>2021</v>
      </c>
      <c r="D7" t="s">
        <v>113</v>
      </c>
      <c r="E7" t="s">
        <v>9</v>
      </c>
      <c r="F7" t="s">
        <v>107</v>
      </c>
      <c r="J7" t="s">
        <v>108</v>
      </c>
      <c r="K7" t="s">
        <v>109</v>
      </c>
      <c r="T7" t="s">
        <v>109</v>
      </c>
      <c r="U7" s="23">
        <v>281376.21999999997</v>
      </c>
      <c r="V7" s="22">
        <v>0</v>
      </c>
    </row>
    <row r="8" spans="1:22" x14ac:dyDescent="0.3">
      <c r="A8" s="24">
        <v>44197</v>
      </c>
      <c r="B8" t="s">
        <v>106</v>
      </c>
      <c r="C8" s="22">
        <v>2021</v>
      </c>
      <c r="D8" t="s">
        <v>114</v>
      </c>
      <c r="E8" t="s">
        <v>9</v>
      </c>
      <c r="F8" t="s">
        <v>107</v>
      </c>
      <c r="J8" t="s">
        <v>108</v>
      </c>
      <c r="K8" t="s">
        <v>109</v>
      </c>
      <c r="T8" t="s">
        <v>109</v>
      </c>
      <c r="U8" s="23">
        <v>2042088.17</v>
      </c>
      <c r="V8" s="22">
        <v>0</v>
      </c>
    </row>
    <row r="9" spans="1:22" x14ac:dyDescent="0.3">
      <c r="A9" s="24">
        <v>44197</v>
      </c>
      <c r="B9" t="s">
        <v>106</v>
      </c>
      <c r="C9" s="22">
        <v>2021</v>
      </c>
      <c r="D9" t="s">
        <v>115</v>
      </c>
      <c r="E9" t="s">
        <v>9</v>
      </c>
      <c r="F9" t="s">
        <v>107</v>
      </c>
      <c r="J9" t="s">
        <v>108</v>
      </c>
      <c r="K9" t="s">
        <v>109</v>
      </c>
      <c r="T9" t="s">
        <v>109</v>
      </c>
      <c r="U9" s="23">
        <v>2603764.23</v>
      </c>
      <c r="V9" s="22">
        <v>0</v>
      </c>
    </row>
    <row r="10" spans="1:22" x14ac:dyDescent="0.3">
      <c r="A10" s="24">
        <v>44197</v>
      </c>
      <c r="B10" t="s">
        <v>106</v>
      </c>
      <c r="C10" s="22">
        <v>2021</v>
      </c>
      <c r="D10" t="s">
        <v>110</v>
      </c>
      <c r="E10" t="s">
        <v>9</v>
      </c>
      <c r="F10" t="s">
        <v>107</v>
      </c>
      <c r="G10" t="s">
        <v>116</v>
      </c>
      <c r="H10" t="s">
        <v>10</v>
      </c>
      <c r="I10" t="s">
        <v>117</v>
      </c>
      <c r="J10" t="s">
        <v>108</v>
      </c>
      <c r="K10" t="s">
        <v>109</v>
      </c>
      <c r="T10" t="s">
        <v>109</v>
      </c>
      <c r="U10" s="23">
        <v>24122</v>
      </c>
      <c r="V10" s="22">
        <v>0</v>
      </c>
    </row>
    <row r="11" spans="1:22" x14ac:dyDescent="0.3">
      <c r="A11" s="24">
        <v>44227</v>
      </c>
      <c r="B11" t="s">
        <v>118</v>
      </c>
      <c r="C11" s="22">
        <v>2021</v>
      </c>
      <c r="D11" t="s">
        <v>119</v>
      </c>
      <c r="E11" t="s">
        <v>9</v>
      </c>
      <c r="F11" t="s">
        <v>107</v>
      </c>
      <c r="J11" t="s">
        <v>108</v>
      </c>
      <c r="K11" t="s">
        <v>109</v>
      </c>
      <c r="T11" t="s">
        <v>120</v>
      </c>
      <c r="U11" s="23">
        <v>2610.2600000000002</v>
      </c>
      <c r="V11" s="22">
        <v>1</v>
      </c>
    </row>
    <row r="12" spans="1:22" x14ac:dyDescent="0.3">
      <c r="A12" s="24">
        <v>44255</v>
      </c>
      <c r="B12" t="s">
        <v>121</v>
      </c>
      <c r="C12" s="22">
        <v>2021</v>
      </c>
      <c r="D12" t="s">
        <v>119</v>
      </c>
      <c r="E12" t="s">
        <v>9</v>
      </c>
      <c r="F12" t="s">
        <v>107</v>
      </c>
      <c r="J12" t="s">
        <v>108</v>
      </c>
      <c r="K12" t="s">
        <v>109</v>
      </c>
      <c r="T12" t="s">
        <v>120</v>
      </c>
      <c r="U12" s="23">
        <v>6332.98</v>
      </c>
      <c r="V12" s="22">
        <v>2</v>
      </c>
    </row>
    <row r="13" spans="1:22" x14ac:dyDescent="0.3">
      <c r="A13" s="24">
        <v>44287</v>
      </c>
      <c r="B13" t="s">
        <v>122</v>
      </c>
      <c r="C13" s="22">
        <v>2021</v>
      </c>
      <c r="D13" t="s">
        <v>119</v>
      </c>
      <c r="E13" t="s">
        <v>9</v>
      </c>
      <c r="F13" t="s">
        <v>107</v>
      </c>
      <c r="J13" t="s">
        <v>108</v>
      </c>
      <c r="K13" t="s">
        <v>109</v>
      </c>
      <c r="T13" t="s">
        <v>120</v>
      </c>
      <c r="U13" s="23">
        <v>24820.87</v>
      </c>
      <c r="V13" s="22">
        <v>4</v>
      </c>
    </row>
    <row r="14" spans="1:22" x14ac:dyDescent="0.3">
      <c r="A14" s="24">
        <v>44316</v>
      </c>
      <c r="B14" t="s">
        <v>123</v>
      </c>
      <c r="C14" s="22">
        <v>2021</v>
      </c>
      <c r="D14" t="s">
        <v>119</v>
      </c>
      <c r="E14" t="s">
        <v>9</v>
      </c>
      <c r="F14" t="s">
        <v>107</v>
      </c>
      <c r="J14" t="s">
        <v>108</v>
      </c>
      <c r="K14" t="s">
        <v>109</v>
      </c>
      <c r="T14" t="s">
        <v>120</v>
      </c>
      <c r="U14" s="23">
        <v>6476.6</v>
      </c>
      <c r="V14" s="22">
        <v>4</v>
      </c>
    </row>
    <row r="15" spans="1:22" x14ac:dyDescent="0.3">
      <c r="A15" s="24">
        <v>44347</v>
      </c>
      <c r="B15" t="s">
        <v>124</v>
      </c>
      <c r="C15" s="22">
        <v>2021</v>
      </c>
      <c r="D15" t="s">
        <v>119</v>
      </c>
      <c r="E15" t="s">
        <v>9</v>
      </c>
      <c r="F15" t="s">
        <v>107</v>
      </c>
      <c r="J15" t="s">
        <v>108</v>
      </c>
      <c r="K15" t="s">
        <v>109</v>
      </c>
      <c r="T15" t="s">
        <v>120</v>
      </c>
      <c r="U15" s="23">
        <v>7494.08</v>
      </c>
      <c r="V15" s="22">
        <v>5</v>
      </c>
    </row>
    <row r="16" spans="1:22" x14ac:dyDescent="0.3">
      <c r="A16" s="24">
        <v>44347</v>
      </c>
      <c r="B16" t="s">
        <v>125</v>
      </c>
      <c r="C16" s="22">
        <v>2021</v>
      </c>
      <c r="D16" t="s">
        <v>119</v>
      </c>
      <c r="E16" t="s">
        <v>9</v>
      </c>
      <c r="F16" t="s">
        <v>107</v>
      </c>
      <c r="J16" t="s">
        <v>108</v>
      </c>
      <c r="K16" t="s">
        <v>109</v>
      </c>
      <c r="T16" t="s">
        <v>126</v>
      </c>
      <c r="U16" s="23">
        <v>600000</v>
      </c>
      <c r="V16" s="22">
        <v>5</v>
      </c>
    </row>
    <row r="17" spans="1:22" x14ac:dyDescent="0.3">
      <c r="A17" s="24">
        <v>44377</v>
      </c>
      <c r="B17" t="s">
        <v>127</v>
      </c>
      <c r="C17" s="22">
        <v>2021</v>
      </c>
      <c r="D17" t="s">
        <v>119</v>
      </c>
      <c r="E17" t="s">
        <v>9</v>
      </c>
      <c r="F17" t="s">
        <v>107</v>
      </c>
      <c r="J17" t="s">
        <v>108</v>
      </c>
      <c r="K17" t="s">
        <v>109</v>
      </c>
      <c r="T17" t="s">
        <v>120</v>
      </c>
      <c r="U17" s="23">
        <v>32974.26</v>
      </c>
      <c r="V17" s="22">
        <v>6</v>
      </c>
    </row>
    <row r="18" spans="1:22" x14ac:dyDescent="0.3">
      <c r="A18" s="24">
        <v>44387</v>
      </c>
      <c r="B18" t="s">
        <v>125</v>
      </c>
      <c r="C18" s="22">
        <v>2021</v>
      </c>
      <c r="D18" t="s">
        <v>119</v>
      </c>
      <c r="E18" t="s">
        <v>9</v>
      </c>
      <c r="F18" t="s">
        <v>107</v>
      </c>
      <c r="J18" t="s">
        <v>108</v>
      </c>
      <c r="K18" t="s">
        <v>109</v>
      </c>
      <c r="T18" t="s">
        <v>126</v>
      </c>
      <c r="U18" s="23">
        <v>800000</v>
      </c>
      <c r="V18" s="22">
        <v>7</v>
      </c>
    </row>
    <row r="19" spans="1:22" x14ac:dyDescent="0.3">
      <c r="A19" s="24">
        <v>44408</v>
      </c>
      <c r="B19" t="s">
        <v>128</v>
      </c>
      <c r="C19" s="22">
        <v>2021</v>
      </c>
      <c r="D19" t="s">
        <v>119</v>
      </c>
      <c r="E19" t="s">
        <v>9</v>
      </c>
      <c r="F19" t="s">
        <v>107</v>
      </c>
      <c r="J19" t="s">
        <v>108</v>
      </c>
      <c r="K19" t="s">
        <v>109</v>
      </c>
      <c r="T19" t="s">
        <v>120</v>
      </c>
      <c r="U19" s="23">
        <v>7661.01</v>
      </c>
      <c r="V19" s="22">
        <v>7</v>
      </c>
    </row>
    <row r="20" spans="1:22" x14ac:dyDescent="0.3">
      <c r="A20" s="24">
        <v>44440</v>
      </c>
      <c r="B20" t="s">
        <v>129</v>
      </c>
      <c r="C20" s="22">
        <v>2021</v>
      </c>
      <c r="D20" t="s">
        <v>119</v>
      </c>
      <c r="E20" t="s">
        <v>9</v>
      </c>
      <c r="F20" t="s">
        <v>107</v>
      </c>
      <c r="J20" t="s">
        <v>108</v>
      </c>
      <c r="K20" t="s">
        <v>109</v>
      </c>
      <c r="T20" t="s">
        <v>120</v>
      </c>
      <c r="U20" s="23">
        <v>7952.59</v>
      </c>
      <c r="V20" s="22">
        <v>9</v>
      </c>
    </row>
    <row r="21" spans="1:22" x14ac:dyDescent="0.3">
      <c r="A21" s="24">
        <v>44469</v>
      </c>
      <c r="B21" t="s">
        <v>130</v>
      </c>
      <c r="C21" s="22">
        <v>2021</v>
      </c>
      <c r="D21" t="s">
        <v>119</v>
      </c>
      <c r="E21" t="s">
        <v>9</v>
      </c>
      <c r="F21" t="s">
        <v>107</v>
      </c>
      <c r="J21" t="s">
        <v>108</v>
      </c>
      <c r="K21" t="s">
        <v>109</v>
      </c>
      <c r="T21" t="s">
        <v>120</v>
      </c>
      <c r="U21" s="23">
        <v>31656.6</v>
      </c>
      <c r="V21" s="22">
        <v>9</v>
      </c>
    </row>
    <row r="22" spans="1:22" x14ac:dyDescent="0.3">
      <c r="A22" s="24">
        <v>44470</v>
      </c>
      <c r="B22" t="s">
        <v>131</v>
      </c>
      <c r="C22" s="22">
        <v>2021</v>
      </c>
      <c r="D22" t="s">
        <v>119</v>
      </c>
      <c r="E22" t="s">
        <v>9</v>
      </c>
      <c r="F22" t="s">
        <v>107</v>
      </c>
      <c r="J22" t="s">
        <v>108</v>
      </c>
      <c r="K22" t="s">
        <v>109</v>
      </c>
      <c r="T22" t="s">
        <v>120</v>
      </c>
      <c r="U22" s="23">
        <v>-853.91</v>
      </c>
      <c r="V22" s="22">
        <v>10</v>
      </c>
    </row>
    <row r="23" spans="1:22" x14ac:dyDescent="0.3">
      <c r="A23" s="24">
        <v>44500</v>
      </c>
      <c r="B23" t="s">
        <v>132</v>
      </c>
      <c r="C23" s="22">
        <v>2021</v>
      </c>
      <c r="D23" t="s">
        <v>119</v>
      </c>
      <c r="E23" t="s">
        <v>9</v>
      </c>
      <c r="F23" t="s">
        <v>107</v>
      </c>
      <c r="J23" t="s">
        <v>108</v>
      </c>
      <c r="K23" t="s">
        <v>109</v>
      </c>
      <c r="T23" t="s">
        <v>120</v>
      </c>
      <c r="U23" s="23">
        <v>7863.94</v>
      </c>
      <c r="V23" s="22">
        <v>10</v>
      </c>
    </row>
    <row r="24" spans="1:22" x14ac:dyDescent="0.3">
      <c r="A24" s="24">
        <v>44530</v>
      </c>
      <c r="B24" t="s">
        <v>133</v>
      </c>
      <c r="C24" s="22">
        <v>2021</v>
      </c>
      <c r="D24" t="s">
        <v>119</v>
      </c>
      <c r="E24" t="s">
        <v>9</v>
      </c>
      <c r="F24" t="s">
        <v>107</v>
      </c>
      <c r="J24" t="s">
        <v>108</v>
      </c>
      <c r="K24" t="s">
        <v>109</v>
      </c>
      <c r="T24" t="s">
        <v>120</v>
      </c>
      <c r="U24" s="23">
        <v>7419.63</v>
      </c>
      <c r="V24" s="22">
        <v>11</v>
      </c>
    </row>
    <row r="25" spans="1:22" x14ac:dyDescent="0.3">
      <c r="A25" s="24">
        <v>44561</v>
      </c>
      <c r="B25" t="s">
        <v>134</v>
      </c>
      <c r="C25" s="22">
        <v>2021</v>
      </c>
      <c r="D25" t="s">
        <v>119</v>
      </c>
      <c r="E25" t="s">
        <v>9</v>
      </c>
      <c r="F25" t="s">
        <v>107</v>
      </c>
      <c r="J25" t="s">
        <v>108</v>
      </c>
      <c r="K25" t="s">
        <v>109</v>
      </c>
      <c r="T25" t="s">
        <v>120</v>
      </c>
      <c r="U25" s="23">
        <v>52105.62</v>
      </c>
      <c r="V25" s="22">
        <v>12</v>
      </c>
    </row>
    <row r="26" spans="1:22" x14ac:dyDescent="0.3">
      <c r="A26" s="24">
        <v>44561</v>
      </c>
      <c r="B26" t="s">
        <v>135</v>
      </c>
      <c r="C26" s="22">
        <v>2021</v>
      </c>
      <c r="D26" t="s">
        <v>119</v>
      </c>
      <c r="E26" t="s">
        <v>9</v>
      </c>
      <c r="F26" t="s">
        <v>107</v>
      </c>
      <c r="J26" t="s">
        <v>108</v>
      </c>
      <c r="K26" t="s">
        <v>109</v>
      </c>
      <c r="T26" t="s">
        <v>136</v>
      </c>
      <c r="U26" s="23">
        <v>1058752.55</v>
      </c>
      <c r="V26" s="2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 Bal Sht</vt:lpstr>
      <vt:lpstr>2021 Sum</vt:lpstr>
      <vt:lpstr>Hist Mtg</vt:lpstr>
      <vt:lpstr>2021 Bal Sht</vt:lpstr>
      <vt:lpstr>103055 Piv</vt:lpstr>
      <vt:lpstr>103055Q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R. Carlson</dc:creator>
  <cp:lastModifiedBy>Brett R. Carlson</cp:lastModifiedBy>
  <dcterms:created xsi:type="dcterms:W3CDTF">2022-04-19T20:12:29Z</dcterms:created>
  <dcterms:modified xsi:type="dcterms:W3CDTF">2022-07-09T05:02:09Z</dcterms:modified>
</cp:coreProperties>
</file>