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chools\Greenwood\Budget\FY22\Monthly Budgets\"/>
    </mc:Choice>
  </mc:AlternateContent>
  <bookViews>
    <workbookView xWindow="0" yWindow="0" windowWidth="15345" windowHeight="2190" tabRatio="811"/>
  </bookViews>
  <sheets>
    <sheet name="Summary" sheetId="5" r:id="rId1"/>
    <sheet name="Budget Detail" sheetId="1" r:id="rId2"/>
    <sheet name="Summary Support" sheetId="4" state="hidden" r:id="rId3"/>
    <sheet name="Grants" sheetId="7" state="hidden" r:id="rId4"/>
    <sheet name="Grants FY22" sheetId="8" state="hidden" r:id="rId5"/>
    <sheet name="Facility" sheetId="6" state="hidden" r:id="rId6"/>
  </sheets>
  <externalReferences>
    <externalReference r:id="rId7"/>
  </externalReferences>
  <definedNames>
    <definedName name="_xlnm.Print_Area" localSheetId="1">'Budget Detail'!$A$1:$K$165</definedName>
    <definedName name="_xlnm.Print_Titles" localSheetId="1">'Budget Detail'!$2:$4</definedName>
  </definedNames>
  <calcPr calcId="162913"/>
</workbook>
</file>

<file path=xl/calcChain.xml><?xml version="1.0" encoding="utf-8"?>
<calcChain xmlns="http://schemas.openxmlformats.org/spreadsheetml/2006/main">
  <c r="F102" i="1" l="1"/>
  <c r="F94" i="1"/>
  <c r="F86" i="1"/>
  <c r="F18" i="1"/>
  <c r="F9" i="1"/>
  <c r="J35" i="1" l="1"/>
  <c r="X45" i="8"/>
  <c r="D105" i="8" l="1"/>
  <c r="C105" i="8"/>
  <c r="D94" i="8"/>
  <c r="D107" i="8" s="1"/>
  <c r="C94" i="8"/>
  <c r="C107" i="8" s="1"/>
  <c r="K65" i="1" l="1"/>
  <c r="I67" i="1" l="1"/>
  <c r="K67" i="1"/>
  <c r="I55" i="1"/>
  <c r="K55" i="1"/>
  <c r="I54" i="1"/>
  <c r="K54" i="1"/>
  <c r="J18" i="1" l="1"/>
  <c r="J79" i="1" l="1"/>
  <c r="J84" i="1"/>
  <c r="AC57" i="8" l="1"/>
  <c r="AB57" i="8"/>
  <c r="AC46" i="8"/>
  <c r="AB46" i="8"/>
  <c r="AB59" i="8" l="1"/>
  <c r="AC59" i="8"/>
  <c r="N24" i="8" l="1"/>
  <c r="N23" i="8"/>
  <c r="S57" i="8" l="1"/>
  <c r="R57" i="8"/>
  <c r="S46" i="8"/>
  <c r="S59" i="8" s="1"/>
  <c r="R46" i="8"/>
  <c r="R59" i="8" s="1"/>
  <c r="X80" i="8"/>
  <c r="W80" i="8"/>
  <c r="X69" i="8"/>
  <c r="W69" i="8"/>
  <c r="W82" i="8" s="1"/>
  <c r="S80" i="8"/>
  <c r="R80" i="8"/>
  <c r="S69" i="8"/>
  <c r="R69" i="8"/>
  <c r="R82" i="8" s="1"/>
  <c r="N80" i="8"/>
  <c r="M80" i="8"/>
  <c r="N69" i="8"/>
  <c r="M69" i="8"/>
  <c r="I80" i="8"/>
  <c r="H80" i="8"/>
  <c r="I69" i="8"/>
  <c r="H69" i="8"/>
  <c r="D80" i="8"/>
  <c r="C80" i="8"/>
  <c r="D69" i="8"/>
  <c r="C69" i="8"/>
  <c r="N31" i="8"/>
  <c r="M31" i="8"/>
  <c r="M20" i="8"/>
  <c r="X82" i="8" l="1"/>
  <c r="S82" i="8"/>
  <c r="N82" i="8"/>
  <c r="M33" i="8"/>
  <c r="I82" i="8"/>
  <c r="H82" i="8"/>
  <c r="M82" i="8"/>
  <c r="D82" i="8"/>
  <c r="C82" i="8"/>
  <c r="N20" i="8"/>
  <c r="N33" i="8" s="1"/>
  <c r="W57" i="8"/>
  <c r="N57" i="8"/>
  <c r="M57" i="8"/>
  <c r="I57" i="8"/>
  <c r="H57" i="8"/>
  <c r="D57" i="8"/>
  <c r="C57" i="8"/>
  <c r="W46" i="8"/>
  <c r="N46" i="8"/>
  <c r="M46" i="8"/>
  <c r="I46" i="8"/>
  <c r="H46" i="8"/>
  <c r="D46" i="8"/>
  <c r="C46" i="8"/>
  <c r="X46" i="8"/>
  <c r="J31" i="8"/>
  <c r="H31" i="8"/>
  <c r="D31" i="8"/>
  <c r="C31" i="8"/>
  <c r="H20" i="8"/>
  <c r="D20" i="8"/>
  <c r="C20" i="8"/>
  <c r="H33" i="8" l="1"/>
  <c r="H59" i="8"/>
  <c r="D33" i="8"/>
  <c r="I59" i="8"/>
  <c r="X57" i="8"/>
  <c r="X59" i="8" s="1"/>
  <c r="I31" i="8"/>
  <c r="C33" i="8"/>
  <c r="D59" i="8"/>
  <c r="N59" i="8"/>
  <c r="C59" i="8"/>
  <c r="M59" i="8"/>
  <c r="W59" i="8"/>
  <c r="I20" i="8"/>
  <c r="I33" i="8" l="1"/>
  <c r="I56" i="1"/>
  <c r="K56" i="1"/>
  <c r="J31" i="1" l="1"/>
  <c r="I30" i="1" l="1"/>
  <c r="K30" i="1"/>
  <c r="I40" i="1"/>
  <c r="K40" i="1"/>
  <c r="F50" i="1" l="1"/>
  <c r="I33" i="1"/>
  <c r="K33" i="1"/>
  <c r="I121" i="1" l="1"/>
  <c r="K66" i="1"/>
  <c r="I66" i="1"/>
  <c r="E82" i="1" l="1"/>
  <c r="E9" i="1"/>
  <c r="AC50" i="7" l="1"/>
  <c r="AC49" i="7"/>
  <c r="AC48" i="7"/>
  <c r="X66" i="7" l="1"/>
  <c r="S89" i="7" l="1"/>
  <c r="S101" i="7"/>
  <c r="R101" i="7"/>
  <c r="S90" i="7"/>
  <c r="R90" i="7"/>
  <c r="R103" i="7" l="1"/>
  <c r="S103" i="7"/>
  <c r="AB42" i="7" l="1"/>
  <c r="AC40" i="7"/>
  <c r="AC36" i="7"/>
  <c r="AC34" i="7"/>
  <c r="AC42" i="7" s="1"/>
  <c r="AC31" i="7"/>
  <c r="AC44" i="7" s="1"/>
  <c r="AB31" i="7"/>
  <c r="AC30" i="7"/>
  <c r="AB44" i="7" l="1"/>
  <c r="I103" i="1"/>
  <c r="K103" i="1"/>
  <c r="X10" i="7" l="1"/>
  <c r="X14" i="7"/>
  <c r="X8" i="7" l="1"/>
  <c r="X4" i="7" l="1"/>
  <c r="S78" i="7" l="1"/>
  <c r="R78" i="7"/>
  <c r="S67" i="7"/>
  <c r="R67" i="7"/>
  <c r="R80" i="7" l="1"/>
  <c r="S80" i="7"/>
  <c r="AC101" i="7"/>
  <c r="AB101" i="7"/>
  <c r="AC90" i="7"/>
  <c r="AB90" i="7"/>
  <c r="AB103" i="7" l="1"/>
  <c r="AC103" i="7"/>
  <c r="I16" i="7" l="1"/>
  <c r="H16" i="7"/>
  <c r="I5" i="7"/>
  <c r="H5" i="7"/>
  <c r="H18" i="7" l="1"/>
  <c r="I18" i="7"/>
  <c r="X89" i="7"/>
  <c r="X88" i="7"/>
  <c r="X91" i="7" s="1"/>
  <c r="X92" i="7" l="1"/>
  <c r="N101" i="7" l="1"/>
  <c r="M101" i="7"/>
  <c r="N90" i="7"/>
  <c r="M90" i="7"/>
  <c r="I101" i="7"/>
  <c r="H101" i="7"/>
  <c r="I90" i="7"/>
  <c r="H90" i="7"/>
  <c r="X72" i="7"/>
  <c r="X77" i="7"/>
  <c r="D101" i="7"/>
  <c r="C101" i="7"/>
  <c r="D90" i="7"/>
  <c r="C90" i="7"/>
  <c r="H103" i="7" l="1"/>
  <c r="M103" i="7"/>
  <c r="C103" i="7"/>
  <c r="D103" i="7"/>
  <c r="N103" i="7"/>
  <c r="I103" i="7"/>
  <c r="K49" i="1"/>
  <c r="I49" i="1"/>
  <c r="G50" i="1"/>
  <c r="E50" i="1"/>
  <c r="AC78" i="7" l="1"/>
  <c r="AB78" i="7"/>
  <c r="AC67" i="7"/>
  <c r="AB67" i="7"/>
  <c r="X78" i="7"/>
  <c r="W78" i="7"/>
  <c r="X67" i="7"/>
  <c r="W67" i="7"/>
  <c r="N78" i="7"/>
  <c r="M78" i="7"/>
  <c r="N67" i="7"/>
  <c r="M67" i="7"/>
  <c r="I78" i="7"/>
  <c r="H78" i="7"/>
  <c r="I67" i="7"/>
  <c r="H67" i="7"/>
  <c r="D78" i="7"/>
  <c r="C78" i="7"/>
  <c r="D67" i="7"/>
  <c r="C67" i="7"/>
  <c r="AB80" i="7" l="1"/>
  <c r="C80" i="7"/>
  <c r="AC80" i="7"/>
  <c r="W80" i="7"/>
  <c r="X80" i="7"/>
  <c r="N80" i="7"/>
  <c r="M80" i="7"/>
  <c r="D80" i="7"/>
  <c r="I80" i="7"/>
  <c r="H80" i="7"/>
  <c r="J73" i="1"/>
  <c r="F73" i="1"/>
  <c r="G73" i="1"/>
  <c r="E73" i="1"/>
  <c r="K72" i="1"/>
  <c r="I72" i="1"/>
  <c r="K71" i="1"/>
  <c r="I71" i="1"/>
  <c r="K70" i="1"/>
  <c r="I70" i="1"/>
  <c r="I141" i="1" l="1"/>
  <c r="K141" i="1"/>
  <c r="K121" i="1"/>
  <c r="C45" i="7" l="1"/>
  <c r="I69" i="1" l="1"/>
  <c r="K69" i="1"/>
  <c r="I68" i="1"/>
  <c r="K68" i="1"/>
  <c r="J16" i="1"/>
  <c r="G16" i="1"/>
  <c r="G74" i="1" s="1"/>
  <c r="E16" i="1"/>
  <c r="F16" i="1" l="1"/>
  <c r="Y16" i="7" l="1"/>
  <c r="X48" i="7"/>
  <c r="W48" i="7"/>
  <c r="X37" i="7"/>
  <c r="W37" i="7"/>
  <c r="S48" i="7"/>
  <c r="R48" i="7"/>
  <c r="S37" i="7"/>
  <c r="R37" i="7"/>
  <c r="N48" i="7"/>
  <c r="M48" i="7"/>
  <c r="N37" i="7"/>
  <c r="M37" i="7"/>
  <c r="I48" i="7"/>
  <c r="H48" i="7"/>
  <c r="I37" i="7"/>
  <c r="H37" i="7"/>
  <c r="D48" i="7"/>
  <c r="C48" i="7"/>
  <c r="D37" i="7"/>
  <c r="C37" i="7"/>
  <c r="W50" i="7" l="1"/>
  <c r="X50" i="7"/>
  <c r="H50" i="7"/>
  <c r="I50" i="7"/>
  <c r="C50" i="7"/>
  <c r="D50" i="7"/>
  <c r="R50" i="7"/>
  <c r="S50" i="7"/>
  <c r="M50" i="7"/>
  <c r="N50" i="7"/>
  <c r="L48" i="5"/>
  <c r="I48" i="1" l="1"/>
  <c r="K48" i="1"/>
  <c r="K123" i="1" l="1"/>
  <c r="I123" i="1"/>
  <c r="J50" i="1"/>
  <c r="I27" i="1"/>
  <c r="K27" i="1"/>
  <c r="I11" i="1" l="1"/>
  <c r="K11" i="1"/>
  <c r="N13" i="7" l="1"/>
  <c r="X16" i="7" l="1"/>
  <c r="W16" i="7"/>
  <c r="W20" i="7" s="1"/>
  <c r="X5" i="7"/>
  <c r="W5" i="7"/>
  <c r="S16" i="7"/>
  <c r="S5" i="7"/>
  <c r="N16" i="7"/>
  <c r="N5" i="7"/>
  <c r="D16" i="7"/>
  <c r="D5" i="7"/>
  <c r="R16" i="7"/>
  <c r="R5" i="7"/>
  <c r="M16" i="7"/>
  <c r="M5" i="7"/>
  <c r="C16" i="7"/>
  <c r="C5" i="7"/>
  <c r="M18" i="7" l="1"/>
  <c r="W18" i="7"/>
  <c r="X18" i="7"/>
  <c r="S18" i="7"/>
  <c r="R18" i="7"/>
  <c r="N18" i="7"/>
  <c r="D18" i="7"/>
  <c r="C18" i="7"/>
  <c r="I147" i="1" l="1"/>
  <c r="K147" i="1"/>
  <c r="K64" i="1" l="1"/>
  <c r="I64" i="1"/>
  <c r="I45" i="1" l="1"/>
  <c r="K45" i="1"/>
  <c r="G117" i="1" l="1"/>
  <c r="I10" i="1"/>
  <c r="I156" i="1" l="1"/>
  <c r="I157" i="1"/>
  <c r="M158" i="1" l="1"/>
  <c r="M149" i="1"/>
  <c r="M150" i="1" s="1"/>
  <c r="M144" i="1"/>
  <c r="M127" i="1"/>
  <c r="M117" i="1"/>
  <c r="M110" i="1"/>
  <c r="M73" i="1"/>
  <c r="M31" i="1"/>
  <c r="M50" i="1" s="1"/>
  <c r="M16" i="1"/>
  <c r="M74" i="1" l="1"/>
  <c r="M162" i="1" s="1"/>
  <c r="M90" i="1"/>
  <c r="M99" i="1"/>
  <c r="I62" i="1"/>
  <c r="I63" i="1"/>
  <c r="K63" i="1"/>
  <c r="K62" i="1"/>
  <c r="M159" i="1" l="1"/>
  <c r="M161" i="1" s="1"/>
  <c r="I41" i="1" l="1"/>
  <c r="K41" i="1"/>
  <c r="I15" i="1" l="1"/>
  <c r="K15" i="1"/>
  <c r="K10" i="1" l="1"/>
  <c r="K47" i="1" l="1"/>
  <c r="I47" i="1"/>
  <c r="K93" i="1"/>
  <c r="I93" i="1"/>
  <c r="I83" i="1" l="1"/>
  <c r="I12" i="1" l="1"/>
  <c r="K12" i="1"/>
  <c r="I140" i="1" l="1"/>
  <c r="K140" i="1"/>
  <c r="K129" i="1"/>
  <c r="I129" i="1"/>
  <c r="K146" i="1" l="1"/>
  <c r="K106" i="1"/>
  <c r="K83" i="1"/>
  <c r="K44" i="1"/>
  <c r="K46" i="1"/>
  <c r="I44" i="1"/>
  <c r="I46" i="1"/>
  <c r="K31" i="1"/>
  <c r="I31" i="1"/>
  <c r="F144" i="1" l="1"/>
  <c r="K24" i="1" l="1"/>
  <c r="J110" i="1" l="1"/>
  <c r="F110" i="1"/>
  <c r="G110" i="1"/>
  <c r="E110" i="1"/>
  <c r="I101" i="1"/>
  <c r="K101" i="1"/>
  <c r="L5" i="4" l="1"/>
  <c r="L6" i="4" s="1"/>
  <c r="M5" i="4"/>
  <c r="M6" i="4" s="1"/>
  <c r="N5" i="4"/>
  <c r="N6" i="4" s="1"/>
  <c r="O5" i="4"/>
  <c r="O6" i="4" s="1"/>
  <c r="P5" i="4"/>
  <c r="P6" i="4" s="1"/>
  <c r="Q5" i="4"/>
  <c r="Q6" i="4" s="1"/>
  <c r="R5" i="4"/>
  <c r="R6" i="4" s="1"/>
  <c r="S5" i="4"/>
  <c r="S6" i="4" s="1"/>
  <c r="I5" i="4"/>
  <c r="I6" i="4" s="1"/>
  <c r="J5" i="4"/>
  <c r="J6" i="4" s="1"/>
  <c r="K5" i="4"/>
  <c r="K6" i="4" s="1"/>
  <c r="H5" i="4"/>
  <c r="H6" i="4" s="1"/>
  <c r="K153" i="1" l="1"/>
  <c r="K154" i="1"/>
  <c r="K155" i="1"/>
  <c r="K156" i="1"/>
  <c r="K157" i="1"/>
  <c r="K152" i="1"/>
  <c r="K148" i="1"/>
  <c r="K149" i="1"/>
  <c r="K130" i="1"/>
  <c r="K131" i="1"/>
  <c r="K132" i="1"/>
  <c r="K133" i="1"/>
  <c r="K134" i="1"/>
  <c r="K135" i="1"/>
  <c r="K136" i="1"/>
  <c r="K137" i="1"/>
  <c r="K138" i="1"/>
  <c r="K139" i="1"/>
  <c r="K142" i="1"/>
  <c r="K143" i="1"/>
  <c r="K120" i="1"/>
  <c r="K122" i="1"/>
  <c r="K124" i="1"/>
  <c r="K125" i="1"/>
  <c r="K126" i="1"/>
  <c r="K119" i="1"/>
  <c r="K113" i="1"/>
  <c r="K114" i="1"/>
  <c r="K115" i="1"/>
  <c r="K116" i="1"/>
  <c r="K112" i="1"/>
  <c r="K102" i="1"/>
  <c r="K104" i="1"/>
  <c r="K105" i="1"/>
  <c r="K107" i="1"/>
  <c r="K108" i="1"/>
  <c r="K109" i="1"/>
  <c r="K94" i="1"/>
  <c r="K95" i="1"/>
  <c r="K96" i="1"/>
  <c r="K97" i="1"/>
  <c r="K98" i="1"/>
  <c r="K79" i="1"/>
  <c r="K81" i="1"/>
  <c r="K84" i="1"/>
  <c r="K85" i="1"/>
  <c r="K86" i="1"/>
  <c r="K87" i="1"/>
  <c r="K88" i="1"/>
  <c r="K89" i="1"/>
  <c r="K78" i="1"/>
  <c r="K53" i="1"/>
  <c r="K57" i="1"/>
  <c r="K58" i="1"/>
  <c r="K59" i="1"/>
  <c r="K60" i="1"/>
  <c r="K61" i="1"/>
  <c r="K52" i="1"/>
  <c r="K19" i="1"/>
  <c r="K20" i="1"/>
  <c r="K21" i="1"/>
  <c r="K22" i="1"/>
  <c r="K23" i="1"/>
  <c r="K25" i="1"/>
  <c r="K26" i="1"/>
  <c r="K28" i="1"/>
  <c r="K29" i="1"/>
  <c r="K32" i="1"/>
  <c r="K34" i="1"/>
  <c r="K35" i="1"/>
  <c r="K36" i="1"/>
  <c r="K37" i="1"/>
  <c r="K38" i="1"/>
  <c r="K39" i="1"/>
  <c r="K42" i="1"/>
  <c r="K43" i="1"/>
  <c r="K18" i="1"/>
  <c r="K8" i="1"/>
  <c r="K9" i="1"/>
  <c r="K13" i="1"/>
  <c r="K14" i="1"/>
  <c r="K7" i="1"/>
  <c r="I84" i="1" l="1"/>
  <c r="K73" i="1" l="1"/>
  <c r="O48" i="5"/>
  <c r="P48" i="5"/>
  <c r="Q48" i="5"/>
  <c r="R48" i="5"/>
  <c r="S48" i="5"/>
  <c r="T48" i="5"/>
  <c r="U48" i="5"/>
  <c r="V48" i="5"/>
  <c r="N48" i="5"/>
  <c r="I155" i="1" l="1"/>
  <c r="I102" i="1"/>
  <c r="I7" i="1"/>
  <c r="I13" i="1" l="1"/>
  <c r="G158" i="1" l="1"/>
  <c r="G150" i="1"/>
  <c r="G144" i="1"/>
  <c r="G127" i="1"/>
  <c r="I142" i="1"/>
  <c r="I113" i="1"/>
  <c r="I35" i="1"/>
  <c r="I23" i="1"/>
  <c r="G90" i="1" l="1"/>
  <c r="I36" i="1"/>
  <c r="G99" i="1" l="1"/>
  <c r="G159" i="1" s="1"/>
  <c r="I43" i="1"/>
  <c r="F16" i="5"/>
  <c r="F15" i="5"/>
  <c r="I38" i="1" l="1"/>
  <c r="I16" i="1"/>
  <c r="J158" i="1"/>
  <c r="I158" i="1" s="1"/>
  <c r="J150" i="1"/>
  <c r="I150" i="1" s="1"/>
  <c r="J144" i="1"/>
  <c r="I144" i="1" s="1"/>
  <c r="J127" i="1"/>
  <c r="I127" i="1" s="1"/>
  <c r="J117" i="1"/>
  <c r="I117" i="1" s="1"/>
  <c r="I110" i="1"/>
  <c r="K80" i="1"/>
  <c r="I154" i="1"/>
  <c r="I153" i="1"/>
  <c r="I152" i="1"/>
  <c r="I149" i="1"/>
  <c r="I148" i="1"/>
  <c r="I146" i="1"/>
  <c r="I143" i="1"/>
  <c r="I139" i="1"/>
  <c r="I138" i="1"/>
  <c r="I137" i="1"/>
  <c r="I136" i="1"/>
  <c r="I135" i="1"/>
  <c r="I134" i="1"/>
  <c r="I133" i="1"/>
  <c r="I132" i="1"/>
  <c r="I131" i="1"/>
  <c r="I130" i="1"/>
  <c r="I126" i="1"/>
  <c r="I125" i="1"/>
  <c r="I124" i="1"/>
  <c r="I122" i="1"/>
  <c r="I120" i="1"/>
  <c r="I119" i="1"/>
  <c r="I116" i="1"/>
  <c r="I115" i="1"/>
  <c r="I114" i="1"/>
  <c r="I112" i="1"/>
  <c r="I109" i="1"/>
  <c r="I108" i="1"/>
  <c r="I107" i="1"/>
  <c r="I106" i="1"/>
  <c r="I105" i="1"/>
  <c r="I104" i="1"/>
  <c r="I98" i="1"/>
  <c r="I97" i="1"/>
  <c r="I96" i="1"/>
  <c r="I95" i="1"/>
  <c r="I94" i="1"/>
  <c r="I61" i="1"/>
  <c r="I60" i="1"/>
  <c r="I59" i="1"/>
  <c r="I58" i="1"/>
  <c r="I57" i="1"/>
  <c r="I53" i="1"/>
  <c r="I52" i="1"/>
  <c r="I42" i="1"/>
  <c r="I39" i="1"/>
  <c r="I34" i="1"/>
  <c r="I29" i="1"/>
  <c r="I24" i="1"/>
  <c r="I22" i="1"/>
  <c r="I21" i="1"/>
  <c r="I20" i="1"/>
  <c r="I19" i="1"/>
  <c r="I14" i="1"/>
  <c r="I9" i="1"/>
  <c r="G161" i="1" l="1"/>
  <c r="F17" i="5"/>
  <c r="I25" i="1"/>
  <c r="K82" i="1"/>
  <c r="I86" i="1"/>
  <c r="I80" i="1"/>
  <c r="I73" i="1"/>
  <c r="I82" i="1" l="1"/>
  <c r="I37" i="1"/>
  <c r="I28" i="1"/>
  <c r="I26" i="1"/>
  <c r="I87" i="1"/>
  <c r="I32" i="1"/>
  <c r="I89" i="1"/>
  <c r="I88" i="1"/>
  <c r="I78" i="1"/>
  <c r="I81" i="1"/>
  <c r="I18" i="1" l="1"/>
  <c r="I85" i="1"/>
  <c r="J90" i="1"/>
  <c r="I79" i="1"/>
  <c r="K92" i="1" l="1"/>
  <c r="J99" i="1"/>
  <c r="I99" i="1" s="1"/>
  <c r="I92" i="1"/>
  <c r="I50" i="1"/>
  <c r="I90" i="1"/>
  <c r="J74" i="1"/>
  <c r="J159" i="1" l="1"/>
  <c r="J161" i="1" s="1"/>
  <c r="K161" i="1" s="1"/>
  <c r="I74" i="1"/>
  <c r="I159" i="1" l="1"/>
  <c r="K16" i="1"/>
  <c r="E17" i="5"/>
  <c r="F90" i="1"/>
  <c r="K90" i="1" s="1"/>
  <c r="F99" i="1"/>
  <c r="K99" i="1" s="1"/>
  <c r="K110" i="1"/>
  <c r="F117" i="1"/>
  <c r="K117" i="1" s="1"/>
  <c r="F127" i="1"/>
  <c r="K127" i="1" s="1"/>
  <c r="K144" i="1"/>
  <c r="F150" i="1"/>
  <c r="F158" i="1"/>
  <c r="K158" i="1" s="1"/>
  <c r="G23" i="5"/>
  <c r="F23" i="5"/>
  <c r="F24" i="5"/>
  <c r="F25" i="5"/>
  <c r="G26" i="5"/>
  <c r="F27" i="5"/>
  <c r="I8" i="1"/>
  <c r="F21" i="5"/>
  <c r="E150" i="1"/>
  <c r="E127" i="1"/>
  <c r="E158" i="1"/>
  <c r="E144" i="1"/>
  <c r="E90" i="1"/>
  <c r="F28" i="5"/>
  <c r="F26" i="5"/>
  <c r="F22" i="5"/>
  <c r="E92" i="1" l="1"/>
  <c r="E99" i="1" s="1"/>
  <c r="E27" i="5"/>
  <c r="K150" i="1"/>
  <c r="E26" i="5"/>
  <c r="H26" i="5" s="1"/>
  <c r="E25" i="5"/>
  <c r="E74" i="1"/>
  <c r="E117" i="1"/>
  <c r="F18" i="5"/>
  <c r="F29" i="5"/>
  <c r="G15" i="5"/>
  <c r="G17" i="5"/>
  <c r="H17" i="5" s="1"/>
  <c r="G27" i="5"/>
  <c r="E21" i="5"/>
  <c r="G28" i="5"/>
  <c r="G16" i="5"/>
  <c r="G24" i="5"/>
  <c r="E23" i="5"/>
  <c r="H23" i="5" s="1"/>
  <c r="E22" i="5"/>
  <c r="F159" i="1"/>
  <c r="K159" i="1" s="1"/>
  <c r="E15" i="5"/>
  <c r="E24" i="5"/>
  <c r="E28" i="5"/>
  <c r="G25" i="5"/>
  <c r="H25" i="5" l="1"/>
  <c r="H27" i="5"/>
  <c r="T4" i="4"/>
  <c r="T3" i="4"/>
  <c r="E159" i="1"/>
  <c r="F31" i="5"/>
  <c r="F33" i="5" s="1"/>
  <c r="G18" i="5"/>
  <c r="G21" i="5"/>
  <c r="H21" i="5" s="1"/>
  <c r="H28" i="5"/>
  <c r="H15" i="5"/>
  <c r="H24" i="5"/>
  <c r="E29" i="5"/>
  <c r="Y21" i="5" l="1"/>
  <c r="T5" i="4"/>
  <c r="E161" i="1"/>
  <c r="I41" i="5" s="1"/>
  <c r="J41" i="5" l="1"/>
  <c r="G22" i="5"/>
  <c r="H22" i="5" l="1"/>
  <c r="G29" i="5"/>
  <c r="G31" i="5" l="1"/>
  <c r="Y17" i="5" s="1"/>
  <c r="E39" i="5"/>
  <c r="Y19" i="5" s="1"/>
  <c r="H29" i="5"/>
  <c r="G33" i="5" l="1"/>
  <c r="Y15" i="5" s="1"/>
  <c r="J43" i="5"/>
  <c r="J48" i="5" s="1"/>
  <c r="K50" i="1"/>
  <c r="F74" i="1"/>
  <c r="F161" i="1" s="1"/>
  <c r="E16" i="5"/>
  <c r="H16" i="5" s="1"/>
  <c r="E18" i="5" l="1"/>
  <c r="E31" i="5" s="1"/>
  <c r="E33" i="5" s="1"/>
  <c r="K74" i="1"/>
  <c r="H18" i="5" l="1"/>
  <c r="I43" i="5"/>
  <c r="I48" i="5" s="1"/>
</calcChain>
</file>

<file path=xl/comments1.xml><?xml version="1.0" encoding="utf-8"?>
<comments xmlns="http://schemas.openxmlformats.org/spreadsheetml/2006/main">
  <authors>
    <author>Matt Lovell</author>
  </authors>
  <commentLis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FY22 Amount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From FY21</t>
        </r>
      </text>
    </comment>
  </commentList>
</comments>
</file>

<file path=xl/comments2.xml><?xml version="1.0" encoding="utf-8"?>
<comments xmlns="http://schemas.openxmlformats.org/spreadsheetml/2006/main">
  <authors>
    <author>Matt Lovell</author>
  </authors>
  <commentList>
    <comment ref="X4" authorId="0" shapeId="0">
      <text>
        <r>
          <rPr>
            <b/>
            <sz val="9"/>
            <color indexed="81"/>
            <rFont val="Tahoma"/>
            <family val="2"/>
          </rPr>
          <t>Rolled over $113,227 from FY20 Turn Around.  $466,100 awarded for FY21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30" authorId="0" shapeId="0">
      <text>
        <r>
          <rPr>
            <b/>
            <sz val="9"/>
            <color indexed="81"/>
            <rFont val="Tahoma"/>
            <family val="2"/>
          </rPr>
          <t>Rolled over $113,227 from FY20 Turn Around.  $466,100 awarded for FY21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Matt Lovell</author>
  </authors>
  <commentList>
    <comment ref="I19" authorId="0" shapeId="0">
      <text>
        <r>
          <rPr>
            <b/>
            <sz val="9"/>
            <color indexed="81"/>
            <rFont val="Tahoma"/>
            <family val="2"/>
          </rPr>
          <t>Rolled over $113,227 from FY20 Turn Around.  $466,100 awarded for FY21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<sst xmlns="http://schemas.openxmlformats.org/spreadsheetml/2006/main" count="1008" uniqueCount="397">
  <si>
    <t>Revenue</t>
  </si>
  <si>
    <t>Local</t>
  </si>
  <si>
    <t>Federal</t>
  </si>
  <si>
    <t>State</t>
  </si>
  <si>
    <t>Salaries</t>
  </si>
  <si>
    <t>Benefits</t>
  </si>
  <si>
    <t>Prof &amp; Technical Services</t>
  </si>
  <si>
    <t>Purchased Property Services</t>
  </si>
  <si>
    <t>Supplies and Materials</t>
  </si>
  <si>
    <t>Property, Equipment</t>
  </si>
  <si>
    <t xml:space="preserve">Total 1000:     </t>
  </si>
  <si>
    <t xml:space="preserve">Total 3000:     </t>
  </si>
  <si>
    <t>Regular School Prgm K-12</t>
  </si>
  <si>
    <t>Professional Staff</t>
  </si>
  <si>
    <t>Special Education -- Add-On</t>
  </si>
  <si>
    <t>Special Education -- Self-Contained</t>
  </si>
  <si>
    <t>Gifted and Talented</t>
  </si>
  <si>
    <t>Class Size Reduction - K-8</t>
  </si>
  <si>
    <t>School Land Trust Program</t>
  </si>
  <si>
    <t>Charter School Local Replacement</t>
  </si>
  <si>
    <t>School Lunch (Liquor Tax)</t>
  </si>
  <si>
    <t>Charter School Admin Costs</t>
  </si>
  <si>
    <t>Educator Salary Adjustment</t>
  </si>
  <si>
    <t xml:space="preserve">Total 4000:     </t>
  </si>
  <si>
    <t>National School Lunch Prgm</t>
  </si>
  <si>
    <t>Free &amp; Reduced Reimbursement</t>
  </si>
  <si>
    <t>Title IA</t>
  </si>
  <si>
    <t>Title IIA</t>
  </si>
  <si>
    <t xml:space="preserve">Total Revenue:     </t>
  </si>
  <si>
    <t xml:space="preserve">Total 100:     </t>
  </si>
  <si>
    <t>Teachers</t>
  </si>
  <si>
    <t>Substitute Teachers</t>
  </si>
  <si>
    <t>Teacher Aides</t>
  </si>
  <si>
    <t xml:space="preserve">Total 200:     </t>
  </si>
  <si>
    <t>Retirement</t>
  </si>
  <si>
    <t>FICA</t>
  </si>
  <si>
    <t>Worker's Compensation Fund</t>
  </si>
  <si>
    <t>Unemployment Insurance</t>
  </si>
  <si>
    <t xml:space="preserve">Total 300:     </t>
  </si>
  <si>
    <t>Board Expenses</t>
  </si>
  <si>
    <t>Technology Services</t>
  </si>
  <si>
    <t xml:space="preserve">Total 400:     </t>
  </si>
  <si>
    <t xml:space="preserve">Total 500:     </t>
  </si>
  <si>
    <t xml:space="preserve">Total 600:     </t>
  </si>
  <si>
    <t>Office Supplies</t>
  </si>
  <si>
    <t>Special Education Materials</t>
  </si>
  <si>
    <t>Furniture and Fixtures</t>
  </si>
  <si>
    <t xml:space="preserve">Total 700:     </t>
  </si>
  <si>
    <t xml:space="preserve">Total 800:     </t>
  </si>
  <si>
    <t xml:space="preserve">Total Expenses:          </t>
  </si>
  <si>
    <t xml:space="preserve">Net Income:          </t>
  </si>
  <si>
    <t>Special Education Aides</t>
  </si>
  <si>
    <t>Food Service Staff</t>
  </si>
  <si>
    <t>Expeditionary Learning Contract</t>
  </si>
  <si>
    <t>Lease of Copy Machines</t>
  </si>
  <si>
    <t>Charter School Association Dues</t>
  </si>
  <si>
    <t>Library</t>
  </si>
  <si>
    <t>Secretarial/Clerical</t>
  </si>
  <si>
    <t>Community Donations</t>
  </si>
  <si>
    <t>Library Books &amp; Electronic Res</t>
  </si>
  <si>
    <t>Life and Disability Insurance</t>
  </si>
  <si>
    <t>Accounting &amp; Audit Services</t>
  </si>
  <si>
    <t>Professional Development</t>
  </si>
  <si>
    <t>Water / Sewage / Garbage</t>
  </si>
  <si>
    <t>Repairs / Maintenance / Monitoring</t>
  </si>
  <si>
    <t>Lawn Care &amp; Snow Removal</t>
  </si>
  <si>
    <t>Other Purchase Services</t>
  </si>
  <si>
    <t>Travel</t>
  </si>
  <si>
    <t>Field Work Travel / Entrance Fees</t>
  </si>
  <si>
    <t>Maintenance &amp; Cleaning</t>
  </si>
  <si>
    <t>Food and Kitchen</t>
  </si>
  <si>
    <t>Technology-Related Hardware</t>
  </si>
  <si>
    <t>Debt Service and Misc</t>
  </si>
  <si>
    <t>Dues and Fees</t>
  </si>
  <si>
    <t>Legal</t>
  </si>
  <si>
    <t>Actuals</t>
  </si>
  <si>
    <t>Marketing</t>
  </si>
  <si>
    <t>Breakfast</t>
  </si>
  <si>
    <t>Expenses</t>
  </si>
  <si>
    <t>Revolving Loan - Repayment</t>
  </si>
  <si>
    <t>Special Education -- Extended Year</t>
  </si>
  <si>
    <t>Special Education -- State Programs</t>
  </si>
  <si>
    <t>Enhancement For At-Risk</t>
  </si>
  <si>
    <t>Teacher Supplies &amp; Materials</t>
  </si>
  <si>
    <t>Enrollment</t>
  </si>
  <si>
    <t>K</t>
  </si>
  <si>
    <t>Business Services</t>
  </si>
  <si>
    <t>Property, Liability &amp; D&amp;O insurances</t>
  </si>
  <si>
    <t>Staff Appreciation</t>
  </si>
  <si>
    <t>Beverly Sorensen Arts Grant</t>
  </si>
  <si>
    <t>Approved Budget</t>
  </si>
  <si>
    <t>Current Yr's Actuals</t>
  </si>
  <si>
    <t>Forecast</t>
  </si>
  <si>
    <t>% of Forecast</t>
  </si>
  <si>
    <t>Banking Fees</t>
  </si>
  <si>
    <t>Bank Account</t>
  </si>
  <si>
    <t>Monthly Revenue to Expenses</t>
  </si>
  <si>
    <t>High</t>
  </si>
  <si>
    <t>Low</t>
  </si>
  <si>
    <t>J</t>
  </si>
  <si>
    <t>A</t>
  </si>
  <si>
    <t>S</t>
  </si>
  <si>
    <t>O</t>
  </si>
  <si>
    <t>N</t>
  </si>
  <si>
    <t>D</t>
  </si>
  <si>
    <t>F</t>
  </si>
  <si>
    <t>M</t>
  </si>
  <si>
    <t>Revenues</t>
  </si>
  <si>
    <t>Check Figure</t>
  </si>
  <si>
    <t>Financial Summary</t>
  </si>
  <si>
    <t>BUDGET REPORT</t>
  </si>
  <si>
    <t>EXPENSES</t>
  </si>
  <si>
    <t>RATIOS</t>
  </si>
  <si>
    <t>Year-to Date</t>
  </si>
  <si>
    <t>Approved</t>
  </si>
  <si>
    <t>% of</t>
  </si>
  <si>
    <t>Budget</t>
  </si>
  <si>
    <t>Goal</t>
  </si>
  <si>
    <t>Operating Margin</t>
  </si>
  <si>
    <t>Debt Service Coverage</t>
  </si>
  <si>
    <t>Total Revenue</t>
  </si>
  <si>
    <t>Days Cash on Hand</t>
  </si>
  <si>
    <t>Building Payment %</t>
  </si>
  <si>
    <t>Total Expenses</t>
  </si>
  <si>
    <t>Net Income from Operations</t>
  </si>
  <si>
    <t>CASH</t>
  </si>
  <si>
    <t>RESERVES</t>
  </si>
  <si>
    <t>Month Ending Cash Balance</t>
  </si>
  <si>
    <t>Actual Ytd</t>
  </si>
  <si>
    <t>Last Year Reserve Balance</t>
  </si>
  <si>
    <t>Reserves Added this Year</t>
  </si>
  <si>
    <t>New Reserve Balance</t>
  </si>
  <si>
    <t>Total</t>
  </si>
  <si>
    <t>Created by Red Apple</t>
  </si>
  <si>
    <t>Custodial</t>
  </si>
  <si>
    <t>Stipends</t>
  </si>
  <si>
    <t xml:space="preserve">  Budget Detail Report</t>
  </si>
  <si>
    <t>USDA Loan - Repayment</t>
  </si>
  <si>
    <t>School Adminstration</t>
  </si>
  <si>
    <t>Changes</t>
  </si>
  <si>
    <t>Special Education -- Stipends Ext</t>
  </si>
  <si>
    <t>Curriculum/Textbooks/Software</t>
  </si>
  <si>
    <t>FCO Supplies</t>
  </si>
  <si>
    <t>Through The Year</t>
  </si>
  <si>
    <t>Special Education Teachers</t>
  </si>
  <si>
    <t>Counselor Grant</t>
  </si>
  <si>
    <t>Digital Teaching and Learning</t>
  </si>
  <si>
    <t>IDEA Part B Preschool</t>
  </si>
  <si>
    <t>IDEA School Age Part-B</t>
  </si>
  <si>
    <t>Custodial Services</t>
  </si>
  <si>
    <t>Telephone/Internet</t>
  </si>
  <si>
    <t>Software</t>
  </si>
  <si>
    <t>Previous Yr's Unaudited</t>
  </si>
  <si>
    <t>*ENROLLMENT</t>
  </si>
  <si>
    <t>* as of the end of the month</t>
  </si>
  <si>
    <t>Facility Rental</t>
  </si>
  <si>
    <t>Interest on Investments</t>
  </si>
  <si>
    <t>SpEd Services</t>
  </si>
  <si>
    <t>Background Checks</t>
  </si>
  <si>
    <t>Early Literacy Program (K-3)</t>
  </si>
  <si>
    <t>Professional Education Services</t>
  </si>
  <si>
    <t>Electricity &amp; Natural Gas</t>
  </si>
  <si>
    <t>Health &amp; Dental Insurance</t>
  </si>
  <si>
    <t>Lunch Sales</t>
  </si>
  <si>
    <t>TSSA</t>
  </si>
  <si>
    <t>Bonuses</t>
  </si>
  <si>
    <t>School Event Supplies</t>
  </si>
  <si>
    <t>Land &amp; Site Improvements</t>
  </si>
  <si>
    <t>Teacher Budgets</t>
  </si>
  <si>
    <t>Book Fairs</t>
  </si>
  <si>
    <t>Book Fair</t>
  </si>
  <si>
    <t>&lt; 20%</t>
  </si>
  <si>
    <t>Student Fees &amp; Activities</t>
  </si>
  <si>
    <t>Turn-Around Funds</t>
  </si>
  <si>
    <t>Marketing Revenues</t>
  </si>
  <si>
    <t>378 Students</t>
  </si>
  <si>
    <t>Share Winter Foundation</t>
  </si>
  <si>
    <t>USDA</t>
  </si>
  <si>
    <t>1.15-1.25+</t>
  </si>
  <si>
    <t>DSCR (Debt Service Coverage Ratio)</t>
  </si>
  <si>
    <t>DCOH (Days Cash on Hand)</t>
  </si>
  <si>
    <t>75+</t>
  </si>
  <si>
    <t>Debt Burden</t>
  </si>
  <si>
    <t>&lt;18%</t>
  </si>
  <si>
    <t>Interest Rate</t>
  </si>
  <si>
    <t>per annum for 30 years</t>
  </si>
  <si>
    <t>Reserve Account (Set Aside Requirement)</t>
  </si>
  <si>
    <t>minimum required amount for reserve account</t>
  </si>
  <si>
    <t>(may suspend monthly deposits once minimum is reached, except to replace withdrawals to the reserve account)</t>
  </si>
  <si>
    <t>deposit each month until reserve account reaches its minimum</t>
  </si>
  <si>
    <t>USDA Loan Details:</t>
  </si>
  <si>
    <t>Title IV</t>
  </si>
  <si>
    <t>FY21 Budget</t>
  </si>
  <si>
    <t>Mental Health Grant (HB373)</t>
  </si>
  <si>
    <t>OEK Early Intervention</t>
  </si>
  <si>
    <t>Broadband Grant</t>
  </si>
  <si>
    <t>Equipment</t>
  </si>
  <si>
    <t>CARES ACT</t>
  </si>
  <si>
    <t>Federal Revenue</t>
  </si>
  <si>
    <t>Indirect Cost</t>
  </si>
  <si>
    <t>Net Income</t>
  </si>
  <si>
    <t>Turn Around</t>
  </si>
  <si>
    <t>State Revenue</t>
  </si>
  <si>
    <t>Actual</t>
  </si>
  <si>
    <t>Funds (FY20)</t>
  </si>
  <si>
    <t>Funds (FY21)</t>
  </si>
  <si>
    <t xml:space="preserve">Kami </t>
  </si>
  <si>
    <t>ADD:</t>
  </si>
  <si>
    <t>Amber B. Online Teacher thru 12/30</t>
  </si>
  <si>
    <t>online software</t>
  </si>
  <si>
    <t>Environmental Ed</t>
  </si>
  <si>
    <t>Fundraising (Fun Run)</t>
  </si>
  <si>
    <t>Title I Schools Improvement Prgm</t>
  </si>
  <si>
    <t>EL Software Funds</t>
  </si>
  <si>
    <t>PY</t>
  </si>
  <si>
    <t>(12/30/2020)</t>
  </si>
  <si>
    <t>(ESSER-09/30/22)</t>
  </si>
  <si>
    <t>(GEERS-09/30/22)</t>
  </si>
  <si>
    <t>Corona Virus Relief Grant</t>
  </si>
  <si>
    <t>N/A</t>
  </si>
  <si>
    <t>PPE Grant</t>
  </si>
  <si>
    <t>Wireless Upgrade Grant (UEN)</t>
  </si>
  <si>
    <t>need to amend in Grants</t>
  </si>
  <si>
    <t>Weber Cares Grant</t>
  </si>
  <si>
    <t>Rukus Wireless Access Point Upgrades</t>
  </si>
  <si>
    <t>(not in Grants)</t>
  </si>
  <si>
    <t>Curriculum</t>
  </si>
  <si>
    <t>per grants</t>
  </si>
  <si>
    <t>Classroom supplies</t>
  </si>
  <si>
    <t>PPE Supplies</t>
  </si>
  <si>
    <t>Deep cleaning of school</t>
  </si>
  <si>
    <t>bought-T-moble</t>
  </si>
  <si>
    <t>filters, classroom supplies</t>
  </si>
  <si>
    <t>Ryley salary and para additional hours TBD</t>
  </si>
  <si>
    <t>new employees, raises</t>
  </si>
  <si>
    <t>Suicide Prevention</t>
  </si>
  <si>
    <t>Weber CARES Grant</t>
  </si>
  <si>
    <t>Wireless Upgrade Grant</t>
  </si>
  <si>
    <t>Corona Virus Relief (12.30.20)</t>
  </si>
  <si>
    <t>PPE Grant (12.30.20)</t>
  </si>
  <si>
    <t>Vacuums</t>
  </si>
  <si>
    <t>40 Hotspot devices for students</t>
  </si>
  <si>
    <t>380 Students</t>
  </si>
  <si>
    <t>Internet (Hotspots)</t>
  </si>
  <si>
    <t>Yearbooks</t>
  </si>
  <si>
    <t>Title I</t>
  </si>
  <si>
    <t>Title II</t>
  </si>
  <si>
    <t xml:space="preserve"> </t>
  </si>
  <si>
    <t>IDEA Part B</t>
  </si>
  <si>
    <t>IDEA Preschool</t>
  </si>
  <si>
    <t>(6/30/2021)</t>
  </si>
  <si>
    <t>Susie Tayrien</t>
  </si>
  <si>
    <t>Services</t>
  </si>
  <si>
    <t>Sarah Wilcox</t>
  </si>
  <si>
    <t>Swivl cameras</t>
  </si>
  <si>
    <t>Frogtummy</t>
  </si>
  <si>
    <t>Clark, ILT Stipends (7500)</t>
  </si>
  <si>
    <t>admin stipends (1500 ea)</t>
  </si>
  <si>
    <t>6000 in June 2021 and 7500 in June 2022(add Kathryn)</t>
  </si>
  <si>
    <t>minus 750 in 2022 for Kathryn moving to admin stipends</t>
  </si>
  <si>
    <t>500 stipend for Math &amp; Science for Kathryn Clark in June 2021</t>
  </si>
  <si>
    <t>Covid Stipends</t>
  </si>
  <si>
    <t>HRA Expense</t>
  </si>
  <si>
    <t>Counseling Services</t>
  </si>
  <si>
    <t>Title I Supplemental</t>
  </si>
  <si>
    <t>(6/30/2022)</t>
  </si>
  <si>
    <t>curriculum software</t>
  </si>
  <si>
    <t>FY20 left over</t>
  </si>
  <si>
    <t>DTL</t>
  </si>
  <si>
    <t>Apple TV's, pencils</t>
  </si>
  <si>
    <t>Digital Specialist salary: Kylie P</t>
  </si>
  <si>
    <t>SLT</t>
  </si>
  <si>
    <t>Lindsay N. Online Teacher thru 1/31</t>
  </si>
  <si>
    <t>jump rope</t>
  </si>
  <si>
    <t>??</t>
  </si>
  <si>
    <t>Live Stream swivl $1350</t>
  </si>
  <si>
    <t>aide salary</t>
  </si>
  <si>
    <t>aide benefits</t>
  </si>
  <si>
    <t>EL contract</t>
  </si>
  <si>
    <t>Burton</t>
  </si>
  <si>
    <t>20-21</t>
  </si>
  <si>
    <t>TOTAL</t>
  </si>
  <si>
    <t>DIFF</t>
  </si>
  <si>
    <t>IC</t>
  </si>
  <si>
    <t>CARES ACT FY20</t>
  </si>
  <si>
    <t>CARES ACT FY21</t>
  </si>
  <si>
    <t>Covid cleaning/PPE</t>
  </si>
  <si>
    <t>Other??</t>
  </si>
  <si>
    <t>State Sped (RDA)</t>
  </si>
  <si>
    <t>Sped Staff PD</t>
  </si>
  <si>
    <t>which aides?</t>
  </si>
  <si>
    <t>(9/30/2021)</t>
  </si>
  <si>
    <t>Title IV (FY19)</t>
  </si>
  <si>
    <t>Tech Teacher</t>
  </si>
  <si>
    <t>Cieslak 8.20-10.5</t>
  </si>
  <si>
    <t>Stumpp 10.20 on</t>
  </si>
  <si>
    <t>total salaries</t>
  </si>
  <si>
    <t>32337.47 left</t>
  </si>
  <si>
    <t>Turnaround 212,443.56</t>
  </si>
  <si>
    <t>brings 300 total to 123,467 actual</t>
  </si>
  <si>
    <t>1000 stipend for Misty--Website</t>
  </si>
  <si>
    <t>Online classes-Camilla Feb 2021 on</t>
  </si>
  <si>
    <t>left</t>
  </si>
  <si>
    <t>use the $113,227 by date or by exp category before sumbitting approved budget?</t>
  </si>
  <si>
    <t>5 @750 over 2 years 1st on June's payroll, 2nd on June 2022 payroll</t>
  </si>
  <si>
    <t>sarah, Kate, Tracey</t>
  </si>
  <si>
    <t>Add Amber salary&amp;benefits</t>
  </si>
  <si>
    <t>benefits add here</t>
  </si>
  <si>
    <t>21000 PD</t>
  </si>
  <si>
    <t>4600 Salary and benefits for PD Stipends/benefits</t>
  </si>
  <si>
    <t>10 ipads and covers/cases/jampf</t>
  </si>
  <si>
    <t>left over funds go to supplies for Curriculum/math manipulative</t>
  </si>
  <si>
    <t>700's</t>
  </si>
  <si>
    <t>Mental Health Grant</t>
  </si>
  <si>
    <t>Other (not eligible for IC)</t>
  </si>
  <si>
    <t>PD</t>
  </si>
  <si>
    <t>Kendall Hunt</t>
  </si>
  <si>
    <t>stipends</t>
  </si>
  <si>
    <t>Math stipends</t>
  </si>
  <si>
    <t>benefits</t>
  </si>
  <si>
    <t>supplies</t>
  </si>
  <si>
    <t>tech</t>
  </si>
  <si>
    <t>ipads</t>
  </si>
  <si>
    <t>math curriculum, science curriculum, Great Minds (Science)</t>
  </si>
  <si>
    <t>1200 teacher budget</t>
  </si>
  <si>
    <t>1500 new teachers (Jessica, Steve-taking over for Scott CTE plus $1000)</t>
  </si>
  <si>
    <t>send tracey turn around budget</t>
  </si>
  <si>
    <t>Grow Your Own Teacher</t>
  </si>
  <si>
    <t>Substance Abuse Prevention</t>
  </si>
  <si>
    <t>Professional Learning</t>
  </si>
  <si>
    <t>Emergency Operating Funds</t>
  </si>
  <si>
    <t>355 Students</t>
  </si>
  <si>
    <t>Outdoor supplies/equipment</t>
  </si>
  <si>
    <t>Bowery approved up to $200k</t>
  </si>
  <si>
    <t>Funds (FY22)</t>
  </si>
  <si>
    <t>ARPA IDEA</t>
  </si>
  <si>
    <t>(9/30/2023)</t>
  </si>
  <si>
    <t>GEER II</t>
  </si>
  <si>
    <t>ESSER</t>
  </si>
  <si>
    <t>(9/30/2022)</t>
  </si>
  <si>
    <t>ESSER II</t>
  </si>
  <si>
    <t>ESSER III</t>
  </si>
  <si>
    <t>(9/30/2024)</t>
  </si>
  <si>
    <t>jumprope</t>
  </si>
  <si>
    <t>SPED staff Salaries/ben</t>
  </si>
  <si>
    <t>Para Salaries/ben</t>
  </si>
  <si>
    <t>Sped Sec salary/ben</t>
  </si>
  <si>
    <t>Cleaning supplies</t>
  </si>
  <si>
    <t>Online teacher</t>
  </si>
  <si>
    <t>Learning Loss Salaries/ben</t>
  </si>
  <si>
    <t>Curriculum/supplies</t>
  </si>
  <si>
    <t>FY21 left</t>
  </si>
  <si>
    <t>FY22 State</t>
  </si>
  <si>
    <t>State Bal</t>
  </si>
  <si>
    <t>Add Garrett salary&amp;benefits</t>
  </si>
  <si>
    <t>pay UEPC from here or possibly from ESSER II</t>
  </si>
  <si>
    <t>Coaching</t>
  </si>
  <si>
    <t>kathryn</t>
  </si>
  <si>
    <t>Nancy</t>
  </si>
  <si>
    <t>IM Math training stipends Romero, Cieslak??</t>
  </si>
  <si>
    <t>Extra paras 1-2</t>
  </si>
  <si>
    <t>Eden/</t>
  </si>
  <si>
    <t>Partial salary-Zoe</t>
  </si>
  <si>
    <t>Emory</t>
  </si>
  <si>
    <t>Stipend for Kylie</t>
  </si>
  <si>
    <t>set aside $13,500 for computer replacement</t>
  </si>
  <si>
    <t>TV's</t>
  </si>
  <si>
    <t>save funds to maintain tech in the future</t>
  </si>
  <si>
    <t>Counseling/Behavior Staff</t>
  </si>
  <si>
    <t>playground budget will be added in</t>
  </si>
  <si>
    <t>RDA</t>
  </si>
  <si>
    <t>IDEA-ARPA</t>
  </si>
  <si>
    <t>Replace UG and Science room floors</t>
  </si>
  <si>
    <t>Paras, Summer program tutors</t>
  </si>
  <si>
    <t>LETRS PL</t>
  </si>
  <si>
    <t>Iready</t>
  </si>
  <si>
    <t>Reading Assessment Tools</t>
  </si>
  <si>
    <t>Data training</t>
  </si>
  <si>
    <t>Outdoor Learning space</t>
  </si>
  <si>
    <t>ARPA IDEA Preschool</t>
  </si>
  <si>
    <t>1 additional para</t>
  </si>
  <si>
    <t>all sarah</t>
  </si>
  <si>
    <t>professional coach</t>
  </si>
  <si>
    <t>Adventure program/experiences science and social studies</t>
  </si>
  <si>
    <t>491 from FY21</t>
  </si>
  <si>
    <t>Sped Teachers</t>
  </si>
  <si>
    <t>Sped Services</t>
  </si>
  <si>
    <t>Shaylee sped para</t>
  </si>
  <si>
    <t>All day kindergarten funding??</t>
  </si>
  <si>
    <t>ESSER Funds 9.30.22</t>
  </si>
  <si>
    <t>GEER Funds 9.30.22</t>
  </si>
  <si>
    <t>GEER II FUNDS 9.30.23</t>
  </si>
  <si>
    <t>ESSER II Funds 9.30.23</t>
  </si>
  <si>
    <t>ESSER III Funds 9.30.24</t>
  </si>
  <si>
    <t>enrollment numbers for prior years</t>
  </si>
  <si>
    <t>add</t>
  </si>
  <si>
    <t>as of March 31st,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</si>
</sst>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&quot;$&quot;#,##0"/>
    <numFmt numFmtId="168" formatCode="_(&quot;$&quot;* #,##0.00_);_(&quot;$&quot;* \(#,##0.00\);_(&quot;$&quot;* &quot;-&quot;_);_(@_)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16"/>
      <color theme="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2"/>
      <color theme="1"/>
      <name val="Times New Roman"/>
      <family val="1"/>
    </font>
    <font>
      <b/>
      <i/>
      <sz val="14"/>
      <color theme="1"/>
      <name val="Times New Roman"/>
      <family val="1"/>
    </font>
    <font>
      <i/>
      <sz val="11"/>
      <color theme="0"/>
      <name val="Calibri"/>
      <family val="2"/>
      <scheme val="minor"/>
    </font>
    <font>
      <b/>
      <sz val="16"/>
      <color theme="0"/>
      <name val="Times New Roman"/>
      <family val="1"/>
    </font>
    <font>
      <sz val="16"/>
      <color theme="0"/>
      <name val="Times New Roman"/>
      <family val="1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20"/>
      <color theme="1"/>
      <name val="Arial"/>
      <family val="2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9"/>
      <color theme="1"/>
      <name val="Calibri"/>
      <family val="2"/>
      <scheme val="minor"/>
    </font>
    <font>
      <i/>
      <sz val="11"/>
      <color theme="1"/>
      <name val="Agency FB"/>
      <family val="2"/>
    </font>
    <font>
      <sz val="11"/>
      <color rgb="FF000000"/>
      <name val="Calibri"/>
      <family val="2"/>
    </font>
    <font>
      <b/>
      <sz val="24"/>
      <color theme="1"/>
      <name val="Times New Roman"/>
      <family val="1"/>
    </font>
    <font>
      <b/>
      <i/>
      <sz val="12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6" fillId="0" borderId="0"/>
  </cellStyleXfs>
  <cellXfs count="259">
    <xf numFmtId="0" fontId="0" fillId="0" borderId="0" xfId="0"/>
    <xf numFmtId="0" fontId="0" fillId="0" borderId="0" xfId="0" applyAlignment="1">
      <alignment wrapText="1"/>
    </xf>
    <xf numFmtId="0" fontId="0" fillId="0" borderId="4" xfId="0" applyBorder="1"/>
    <xf numFmtId="42" fontId="0" fillId="0" borderId="4" xfId="0" applyNumberFormat="1" applyBorder="1"/>
    <xf numFmtId="0" fontId="3" fillId="0" borderId="0" xfId="0" applyFont="1" applyBorder="1" applyAlignment="1">
      <alignment horizontal="center"/>
    </xf>
    <xf numFmtId="0" fontId="0" fillId="2" borderId="0" xfId="0" applyFill="1"/>
    <xf numFmtId="42" fontId="0" fillId="2" borderId="5" xfId="0" applyNumberFormat="1" applyFill="1" applyBorder="1"/>
    <xf numFmtId="0" fontId="0" fillId="3" borderId="0" xfId="0" applyFill="1"/>
    <xf numFmtId="42" fontId="0" fillId="3" borderId="5" xfId="0" applyNumberFormat="1" applyFill="1" applyBorder="1"/>
    <xf numFmtId="42" fontId="4" fillId="3" borderId="7" xfId="0" applyNumberFormat="1" applyFont="1" applyFill="1" applyBorder="1"/>
    <xf numFmtId="0" fontId="0" fillId="0" borderId="0" xfId="0" applyBorder="1"/>
    <xf numFmtId="0" fontId="1" fillId="0" borderId="5" xfId="0" applyFont="1" applyBorder="1" applyAlignment="1">
      <alignment horizontal="center" wrapText="1"/>
    </xf>
    <xf numFmtId="0" fontId="0" fillId="3" borderId="0" xfId="0" applyFill="1" applyBorder="1"/>
    <xf numFmtId="42" fontId="0" fillId="3" borderId="0" xfId="0" applyNumberFormat="1" applyFill="1"/>
    <xf numFmtId="0" fontId="0" fillId="3" borderId="1" xfId="0" applyFill="1" applyBorder="1"/>
    <xf numFmtId="0" fontId="4" fillId="3" borderId="1" xfId="0" applyFont="1" applyFill="1" applyBorder="1" applyAlignment="1">
      <alignment horizontal="right"/>
    </xf>
    <xf numFmtId="0" fontId="4" fillId="3" borderId="1" xfId="0" applyFont="1" applyFill="1" applyBorder="1"/>
    <xf numFmtId="42" fontId="4" fillId="3" borderId="9" xfId="0" applyNumberFormat="1" applyFont="1" applyFill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horizontal="right"/>
    </xf>
    <xf numFmtId="42" fontId="4" fillId="3" borderId="8" xfId="0" applyNumberFormat="1" applyFont="1" applyFill="1" applyBorder="1"/>
    <xf numFmtId="0" fontId="0" fillId="0" borderId="0" xfId="0" applyFill="1"/>
    <xf numFmtId="0" fontId="0" fillId="2" borderId="0" xfId="0" applyFill="1" applyBorder="1"/>
    <xf numFmtId="0" fontId="0" fillId="0" borderId="0" xfId="0" applyFill="1" applyBorder="1"/>
    <xf numFmtId="0" fontId="3" fillId="0" borderId="0" xfId="0" applyFont="1" applyBorder="1" applyAlignment="1">
      <alignment horizontal="center" wrapText="1"/>
    </xf>
    <xf numFmtId="0" fontId="8" fillId="0" borderId="0" xfId="0" applyFont="1" applyAlignment="1">
      <alignment horizontal="right"/>
    </xf>
    <xf numFmtId="42" fontId="8" fillId="0" borderId="0" xfId="0" applyNumberFormat="1" applyFont="1"/>
    <xf numFmtId="0" fontId="0" fillId="3" borderId="10" xfId="0" applyFill="1" applyBorder="1"/>
    <xf numFmtId="0" fontId="4" fillId="3" borderId="10" xfId="0" applyFont="1" applyFill="1" applyBorder="1"/>
    <xf numFmtId="0" fontId="4" fillId="3" borderId="10" xfId="0" applyFont="1" applyFill="1" applyBorder="1" applyAlignment="1">
      <alignment horizontal="right"/>
    </xf>
    <xf numFmtId="42" fontId="4" fillId="3" borderId="11" xfId="0" applyNumberFormat="1" applyFont="1" applyFill="1" applyBorder="1"/>
    <xf numFmtId="0" fontId="4" fillId="3" borderId="0" xfId="0" applyFont="1" applyFill="1" applyBorder="1"/>
    <xf numFmtId="0" fontId="4" fillId="3" borderId="0" xfId="0" applyFont="1" applyFill="1" applyBorder="1" applyAlignment="1">
      <alignment horizontal="right"/>
    </xf>
    <xf numFmtId="42" fontId="4" fillId="3" borderId="0" xfId="0" applyNumberFormat="1" applyFont="1" applyFill="1" applyBorder="1"/>
    <xf numFmtId="15" fontId="0" fillId="0" borderId="0" xfId="0" applyNumberFormat="1"/>
    <xf numFmtId="42" fontId="0" fillId="3" borderId="0" xfId="0" applyNumberFormat="1" applyFill="1" applyBorder="1"/>
    <xf numFmtId="0" fontId="0" fillId="2" borderId="6" xfId="0" applyFill="1" applyBorder="1"/>
    <xf numFmtId="9" fontId="0" fillId="0" borderId="0" xfId="0" applyNumberFormat="1"/>
    <xf numFmtId="9" fontId="0" fillId="3" borderId="5" xfId="0" applyNumberFormat="1" applyFill="1" applyBorder="1"/>
    <xf numFmtId="9" fontId="4" fillId="3" borderId="0" xfId="0" applyNumberFormat="1" applyFont="1" applyFill="1" applyBorder="1"/>
    <xf numFmtId="9" fontId="4" fillId="3" borderId="5" xfId="0" applyNumberFormat="1" applyFont="1" applyFill="1" applyBorder="1"/>
    <xf numFmtId="9" fontId="0" fillId="3" borderId="0" xfId="0" applyNumberFormat="1" applyFill="1" applyBorder="1"/>
    <xf numFmtId="9" fontId="4" fillId="3" borderId="6" xfId="0" applyNumberFormat="1" applyFont="1" applyFill="1" applyBorder="1"/>
    <xf numFmtId="42" fontId="0" fillId="0" borderId="0" xfId="0" applyNumberFormat="1" applyBorder="1"/>
    <xf numFmtId="0" fontId="0" fillId="0" borderId="0" xfId="0" applyAlignment="1">
      <alignment horizontal="center"/>
    </xf>
    <xf numFmtId="0" fontId="11" fillId="0" borderId="0" xfId="0" applyFont="1" applyAlignment="1"/>
    <xf numFmtId="0" fontId="11" fillId="0" borderId="0" xfId="0" applyFont="1"/>
    <xf numFmtId="165" fontId="0" fillId="0" borderId="0" xfId="0" applyNumberFormat="1"/>
    <xf numFmtId="0" fontId="2" fillId="4" borderId="13" xfId="0" applyFont="1" applyFill="1" applyBorder="1" applyAlignment="1"/>
    <xf numFmtId="42" fontId="12" fillId="0" borderId="13" xfId="0" applyNumberFormat="1" applyFont="1" applyBorder="1" applyAlignment="1"/>
    <xf numFmtId="165" fontId="0" fillId="0" borderId="13" xfId="1" applyNumberFormat="1" applyFont="1" applyBorder="1"/>
    <xf numFmtId="0" fontId="8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5" borderId="15" xfId="0" applyFill="1" applyBorder="1"/>
    <xf numFmtId="0" fontId="15" fillId="5" borderId="0" xfId="0" applyFont="1" applyFill="1" applyBorder="1"/>
    <xf numFmtId="0" fontId="0" fillId="5" borderId="0" xfId="0" applyFill="1"/>
    <xf numFmtId="0" fontId="16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0" fillId="0" borderId="0" xfId="0" applyBorder="1" applyAlignment="1">
      <alignment horizontal="right"/>
    </xf>
    <xf numFmtId="0" fontId="18" fillId="5" borderId="16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wrapText="1"/>
    </xf>
    <xf numFmtId="0" fontId="20" fillId="0" borderId="0" xfId="0" applyFont="1" applyBorder="1" applyAlignment="1">
      <alignment wrapText="1"/>
    </xf>
    <xf numFmtId="0" fontId="18" fillId="5" borderId="14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 wrapText="1"/>
    </xf>
    <xf numFmtId="0" fontId="19" fillId="0" borderId="5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wrapText="1"/>
    </xf>
    <xf numFmtId="0" fontId="19" fillId="0" borderId="0" xfId="0" applyFont="1" applyBorder="1" applyAlignment="1">
      <alignment horizontal="center" vertical="top" wrapText="1"/>
    </xf>
    <xf numFmtId="0" fontId="21" fillId="0" borderId="0" xfId="0" applyFont="1" applyFill="1" applyBorder="1"/>
    <xf numFmtId="0" fontId="20" fillId="0" borderId="5" xfId="0" applyFont="1" applyFill="1" applyBorder="1" applyAlignment="1">
      <alignment horizontal="center" wrapText="1"/>
    </xf>
    <xf numFmtId="0" fontId="20" fillId="0" borderId="6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22" fillId="0" borderId="0" xfId="0" applyFont="1" applyFill="1" applyBorder="1"/>
    <xf numFmtId="0" fontId="23" fillId="0" borderId="0" xfId="0" applyFont="1" applyFill="1" applyBorder="1"/>
    <xf numFmtId="0" fontId="23" fillId="0" borderId="5" xfId="0" applyFont="1" applyFill="1" applyBorder="1"/>
    <xf numFmtId="42" fontId="23" fillId="0" borderId="6" xfId="0" applyNumberFormat="1" applyFont="1" applyFill="1" applyBorder="1"/>
    <xf numFmtId="0" fontId="24" fillId="0" borderId="0" xfId="0" applyFont="1" applyAlignment="1">
      <alignment vertical="center"/>
    </xf>
    <xf numFmtId="0" fontId="20" fillId="0" borderId="0" xfId="0" applyFont="1" applyBorder="1"/>
    <xf numFmtId="42" fontId="20" fillId="0" borderId="5" xfId="0" applyNumberFormat="1" applyFont="1" applyBorder="1"/>
    <xf numFmtId="42" fontId="20" fillId="0" borderId="0" xfId="0" applyNumberFormat="1" applyFont="1" applyFill="1" applyBorder="1"/>
    <xf numFmtId="42" fontId="20" fillId="0" borderId="0" xfId="0" applyNumberFormat="1" applyFont="1" applyBorder="1"/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 applyFill="1" applyBorder="1"/>
    <xf numFmtId="42" fontId="20" fillId="2" borderId="5" xfId="0" applyNumberFormat="1" applyFont="1" applyFill="1" applyBorder="1"/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19" fillId="0" borderId="0" xfId="0" applyFont="1" applyFill="1" applyBorder="1" applyAlignment="1">
      <alignment horizontal="left" indent="2"/>
    </xf>
    <xf numFmtId="0" fontId="26" fillId="0" borderId="0" xfId="0" applyFont="1" applyFill="1" applyBorder="1"/>
    <xf numFmtId="42" fontId="26" fillId="0" borderId="7" xfId="0" applyNumberFormat="1" applyFont="1" applyFill="1" applyBorder="1"/>
    <xf numFmtId="42" fontId="26" fillId="0" borderId="9" xfId="0" applyNumberFormat="1" applyFont="1" applyFill="1" applyBorder="1"/>
    <xf numFmtId="42" fontId="26" fillId="0" borderId="0" xfId="0" applyNumberFormat="1" applyFont="1" applyFill="1" applyBorder="1"/>
    <xf numFmtId="42" fontId="20" fillId="0" borderId="5" xfId="0" applyNumberFormat="1" applyFont="1" applyFill="1" applyBorder="1"/>
    <xf numFmtId="42" fontId="20" fillId="0" borderId="6" xfId="0" applyNumberFormat="1" applyFont="1" applyFill="1" applyBorder="1"/>
    <xf numFmtId="0" fontId="27" fillId="0" borderId="0" xfId="0" applyFont="1" applyFill="1" applyBorder="1"/>
    <xf numFmtId="42" fontId="23" fillId="0" borderId="5" xfId="0" applyNumberFormat="1" applyFont="1" applyFill="1" applyBorder="1"/>
    <xf numFmtId="0" fontId="23" fillId="0" borderId="6" xfId="0" applyFont="1" applyFill="1" applyBorder="1"/>
    <xf numFmtId="42" fontId="23" fillId="0" borderId="0" xfId="0" applyNumberFormat="1" applyFont="1" applyFill="1" applyBorder="1"/>
    <xf numFmtId="0" fontId="25" fillId="0" borderId="0" xfId="0" applyFont="1" applyFill="1"/>
    <xf numFmtId="9" fontId="1" fillId="0" borderId="13" xfId="0" applyNumberFormat="1" applyFont="1" applyBorder="1" applyAlignment="1">
      <alignment horizontal="right"/>
    </xf>
    <xf numFmtId="0" fontId="2" fillId="0" borderId="0" xfId="0" applyFont="1"/>
    <xf numFmtId="0" fontId="7" fillId="0" borderId="0" xfId="0" applyFont="1"/>
    <xf numFmtId="0" fontId="28" fillId="0" borderId="0" xfId="0" applyFont="1" applyFill="1" applyBorder="1"/>
    <xf numFmtId="42" fontId="29" fillId="0" borderId="11" xfId="0" applyNumberFormat="1" applyFont="1" applyFill="1" applyBorder="1"/>
    <xf numFmtId="42" fontId="29" fillId="0" borderId="12" xfId="0" applyNumberFormat="1" applyFont="1" applyFill="1" applyBorder="1"/>
    <xf numFmtId="42" fontId="29" fillId="0" borderId="0" xfId="0" applyNumberFormat="1" applyFont="1" applyFill="1" applyBorder="1"/>
    <xf numFmtId="42" fontId="28" fillId="0" borderId="0" xfId="0" applyNumberFormat="1" applyFont="1" applyFill="1" applyBorder="1"/>
    <xf numFmtId="164" fontId="29" fillId="0" borderId="0" xfId="2" applyNumberFormat="1" applyFont="1" applyFill="1" applyBorder="1" applyAlignment="1">
      <alignment horizontal="center"/>
    </xf>
    <xf numFmtId="9" fontId="27" fillId="0" borderId="0" xfId="2" applyFont="1" applyFill="1" applyBorder="1" applyAlignment="1">
      <alignment horizontal="center"/>
    </xf>
    <xf numFmtId="0" fontId="17" fillId="5" borderId="0" xfId="0" applyFont="1" applyFill="1" applyAlignment="1">
      <alignment vertical="center"/>
    </xf>
    <xf numFmtId="0" fontId="22" fillId="0" borderId="17" xfId="0" applyFont="1" applyFill="1" applyBorder="1"/>
    <xf numFmtId="0" fontId="19" fillId="0" borderId="18" xfId="0" applyFont="1" applyFill="1" applyBorder="1" applyAlignment="1">
      <alignment horizontal="left" indent="2"/>
    </xf>
    <xf numFmtId="0" fontId="26" fillId="0" borderId="18" xfId="0" applyFont="1" applyFill="1" applyBorder="1"/>
    <xf numFmtId="0" fontId="30" fillId="5" borderId="19" xfId="0" applyFont="1" applyFill="1" applyBorder="1" applyAlignment="1">
      <alignment horizontal="center" vertical="center" wrapText="1"/>
    </xf>
    <xf numFmtId="0" fontId="30" fillId="5" borderId="20" xfId="0" applyFont="1" applyFill="1" applyBorder="1" applyAlignment="1">
      <alignment horizontal="center" vertical="center" wrapText="1"/>
    </xf>
    <xf numFmtId="0" fontId="30" fillId="5" borderId="21" xfId="0" applyFont="1" applyFill="1" applyBorder="1" applyAlignment="1">
      <alignment horizontal="center" vertical="center" wrapText="1"/>
    </xf>
    <xf numFmtId="165" fontId="20" fillId="0" borderId="0" xfId="1" applyNumberFormat="1" applyFont="1" applyFill="1" applyBorder="1"/>
    <xf numFmtId="0" fontId="12" fillId="0" borderId="0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31" fillId="0" borderId="22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31" fillId="0" borderId="24" xfId="0" applyFont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1" fillId="0" borderId="13" xfId="0" applyFont="1" applyBorder="1" applyAlignment="1">
      <alignment horizontal="center"/>
    </xf>
    <xf numFmtId="0" fontId="31" fillId="0" borderId="25" xfId="0" applyFont="1" applyBorder="1" applyAlignment="1">
      <alignment horizontal="center"/>
    </xf>
    <xf numFmtId="0" fontId="31" fillId="0" borderId="22" xfId="0" applyFont="1" applyFill="1" applyBorder="1" applyAlignment="1">
      <alignment horizontal="center"/>
    </xf>
    <xf numFmtId="0" fontId="19" fillId="0" borderId="0" xfId="0" applyFont="1" applyFill="1" applyBorder="1"/>
    <xf numFmtId="165" fontId="19" fillId="0" borderId="0" xfId="1" applyNumberFormat="1" applyFont="1" applyFill="1" applyBorder="1"/>
    <xf numFmtId="0" fontId="33" fillId="0" borderId="19" xfId="0" applyFont="1" applyBorder="1" applyAlignment="1">
      <alignment horizontal="center"/>
    </xf>
    <xf numFmtId="42" fontId="0" fillId="0" borderId="0" xfId="0" applyNumberFormat="1"/>
    <xf numFmtId="42" fontId="0" fillId="0" borderId="0" xfId="0" applyNumberFormat="1" applyFill="1" applyBorder="1"/>
    <xf numFmtId="0" fontId="34" fillId="0" borderId="0" xfId="0" applyFont="1" applyBorder="1" applyAlignment="1">
      <alignment horizontal="center"/>
    </xf>
    <xf numFmtId="0" fontId="8" fillId="0" borderId="0" xfId="0" applyFont="1" applyBorder="1" applyAlignment="1"/>
    <xf numFmtId="164" fontId="35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64" fontId="29" fillId="3" borderId="0" xfId="2" applyNumberFormat="1" applyFont="1" applyFill="1" applyBorder="1" applyAlignment="1">
      <alignment horizontal="center"/>
    </xf>
    <xf numFmtId="9" fontId="0" fillId="0" borderId="5" xfId="0" applyNumberFormat="1" applyFill="1" applyBorder="1"/>
    <xf numFmtId="42" fontId="22" fillId="0" borderId="13" xfId="0" applyNumberFormat="1" applyFont="1" applyFill="1" applyBorder="1"/>
    <xf numFmtId="42" fontId="22" fillId="0" borderId="26" xfId="0" applyNumberFormat="1" applyFont="1" applyFill="1" applyBorder="1"/>
    <xf numFmtId="42" fontId="22" fillId="0" borderId="0" xfId="0" applyNumberFormat="1" applyFont="1" applyFill="1" applyBorder="1"/>
    <xf numFmtId="42" fontId="21" fillId="0" borderId="0" xfId="0" applyNumberFormat="1" applyFont="1" applyFill="1" applyBorder="1"/>
    <xf numFmtId="42" fontId="19" fillId="0" borderId="0" xfId="0" applyNumberFormat="1" applyFont="1" applyFill="1" applyBorder="1"/>
    <xf numFmtId="0" fontId="20" fillId="0" borderId="0" xfId="0" applyFont="1" applyFill="1" applyBorder="1" applyAlignment="1">
      <alignment horizontal="left" indent="3"/>
    </xf>
    <xf numFmtId="42" fontId="32" fillId="0" borderId="26" xfId="0" applyNumberFormat="1" applyFont="1" applyFill="1" applyBorder="1"/>
    <xf numFmtId="44" fontId="0" fillId="0" borderId="0" xfId="0" applyNumberFormat="1"/>
    <xf numFmtId="9" fontId="0" fillId="0" borderId="0" xfId="2" applyFont="1"/>
    <xf numFmtId="9" fontId="20" fillId="3" borderId="5" xfId="2" applyFont="1" applyFill="1" applyBorder="1"/>
    <xf numFmtId="9" fontId="20" fillId="3" borderId="14" xfId="2" applyFont="1" applyFill="1" applyBorder="1"/>
    <xf numFmtId="9" fontId="20" fillId="3" borderId="7" xfId="2" applyFont="1" applyFill="1" applyBorder="1"/>
    <xf numFmtId="9" fontId="19" fillId="3" borderId="11" xfId="2" applyFont="1" applyFill="1" applyBorder="1"/>
    <xf numFmtId="9" fontId="8" fillId="0" borderId="0" xfId="2" applyFont="1"/>
    <xf numFmtId="2" fontId="0" fillId="0" borderId="0" xfId="2" applyNumberFormat="1" applyFont="1"/>
    <xf numFmtId="3" fontId="0" fillId="0" borderId="0" xfId="0" applyNumberFormat="1"/>
    <xf numFmtId="0" fontId="1" fillId="0" borderId="6" xfId="0" applyFont="1" applyBorder="1" applyAlignment="1">
      <alignment horizontal="center" wrapText="1"/>
    </xf>
    <xf numFmtId="42" fontId="0" fillId="0" borderId="5" xfId="0" applyNumberFormat="1" applyFill="1" applyBorder="1"/>
    <xf numFmtId="15" fontId="0" fillId="0" borderId="0" xfId="0" applyNumberFormat="1" applyAlignment="1">
      <alignment horizontal="center"/>
    </xf>
    <xf numFmtId="42" fontId="0" fillId="0" borderId="0" xfId="0" applyNumberFormat="1" applyFill="1"/>
    <xf numFmtId="0" fontId="1" fillId="0" borderId="13" xfId="0" applyFont="1" applyBorder="1" applyAlignment="1">
      <alignment horizontal="right"/>
    </xf>
    <xf numFmtId="0" fontId="12" fillId="0" borderId="0" xfId="0" applyFont="1" applyAlignment="1">
      <alignment horizontal="center"/>
    </xf>
    <xf numFmtId="166" fontId="8" fillId="0" borderId="0" xfId="0" applyNumberFormat="1" applyFont="1"/>
    <xf numFmtId="0" fontId="3" fillId="0" borderId="0" xfId="0" applyFont="1" applyBorder="1"/>
    <xf numFmtId="164" fontId="15" fillId="5" borderId="0" xfId="0" applyNumberFormat="1" applyFont="1" applyFill="1" applyBorder="1"/>
    <xf numFmtId="0" fontId="37" fillId="0" borderId="0" xfId="0" applyFont="1" applyAlignment="1">
      <alignment horizontal="center"/>
    </xf>
    <xf numFmtId="0" fontId="0" fillId="0" borderId="6" xfId="0" applyFill="1" applyBorder="1"/>
    <xf numFmtId="0" fontId="31" fillId="0" borderId="27" xfId="0" applyFont="1" applyFill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9" fontId="20" fillId="2" borderId="5" xfId="2" applyFont="1" applyFill="1" applyBorder="1"/>
    <xf numFmtId="164" fontId="0" fillId="0" borderId="0" xfId="2" applyNumberFormat="1" applyFont="1"/>
    <xf numFmtId="0" fontId="0" fillId="0" borderId="0" xfId="0" applyBorder="1" applyAlignment="1">
      <alignment horizontal="center"/>
    </xf>
    <xf numFmtId="164" fontId="0" fillId="0" borderId="5" xfId="0" applyNumberFormat="1" applyFill="1" applyBorder="1"/>
    <xf numFmtId="164" fontId="0" fillId="2" borderId="5" xfId="0" applyNumberFormat="1" applyFill="1" applyBorder="1"/>
    <xf numFmtId="164" fontId="0" fillId="0" borderId="7" xfId="0" applyNumberFormat="1" applyFill="1" applyBorder="1"/>
    <xf numFmtId="164" fontId="0" fillId="0" borderId="0" xfId="0" applyNumberFormat="1" applyFill="1"/>
    <xf numFmtId="164" fontId="4" fillId="0" borderId="7" xfId="0" applyNumberFormat="1" applyFont="1" applyFill="1" applyBorder="1"/>
    <xf numFmtId="164" fontId="4" fillId="3" borderId="7" xfId="0" applyNumberFormat="1" applyFont="1" applyFill="1" applyBorder="1"/>
    <xf numFmtId="164" fontId="4" fillId="3" borderId="0" xfId="0" applyNumberFormat="1" applyFont="1" applyFill="1" applyBorder="1"/>
    <xf numFmtId="164" fontId="0" fillId="3" borderId="0" xfId="0" applyNumberFormat="1" applyFill="1"/>
    <xf numFmtId="164" fontId="4" fillId="3" borderId="8" xfId="0" applyNumberFormat="1" applyFont="1" applyFill="1" applyBorder="1"/>
    <xf numFmtId="14" fontId="20" fillId="0" borderId="0" xfId="0" applyNumberFormat="1" applyFont="1"/>
    <xf numFmtId="0" fontId="1" fillId="0" borderId="5" xfId="0" applyFont="1" applyBorder="1" applyAlignment="1">
      <alignment horizontal="center" vertical="center" wrapText="1"/>
    </xf>
    <xf numFmtId="0" fontId="8" fillId="0" borderId="0" xfId="0" applyFont="1" applyFill="1"/>
    <xf numFmtId="166" fontId="8" fillId="0" borderId="0" xfId="0" applyNumberFormat="1" applyFont="1" applyFill="1"/>
    <xf numFmtId="164" fontId="25" fillId="0" borderId="13" xfId="0" applyNumberFormat="1" applyFont="1" applyFill="1" applyBorder="1"/>
    <xf numFmtId="2" fontId="0" fillId="0" borderId="13" xfId="0" applyNumberFormat="1" applyFill="1" applyBorder="1"/>
    <xf numFmtId="165" fontId="25" fillId="0" borderId="13" xfId="0" applyNumberFormat="1" applyFont="1" applyFill="1" applyBorder="1" applyAlignment="1">
      <alignment wrapText="1"/>
    </xf>
    <xf numFmtId="2" fontId="1" fillId="0" borderId="13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0" fontId="6" fillId="5" borderId="0" xfId="0" applyFont="1" applyFill="1"/>
    <xf numFmtId="0" fontId="2" fillId="5" borderId="0" xfId="0" applyFont="1" applyFill="1"/>
    <xf numFmtId="14" fontId="2" fillId="5" borderId="0" xfId="0" applyNumberFormat="1" applyFont="1" applyFill="1" applyAlignment="1">
      <alignment horizontal="center"/>
    </xf>
    <xf numFmtId="164" fontId="2" fillId="5" borderId="0" xfId="0" applyNumberFormat="1" applyFont="1" applyFill="1"/>
    <xf numFmtId="0" fontId="5" fillId="5" borderId="3" xfId="0" applyFont="1" applyFill="1" applyBorder="1"/>
    <xf numFmtId="0" fontId="5" fillId="5" borderId="3" xfId="0" applyFont="1" applyFill="1" applyBorder="1" applyAlignment="1">
      <alignment horizontal="right"/>
    </xf>
    <xf numFmtId="42" fontId="5" fillId="5" borderId="3" xfId="0" applyNumberFormat="1" applyFont="1" applyFill="1" applyBorder="1"/>
    <xf numFmtId="0" fontId="2" fillId="5" borderId="4" xfId="0" applyFont="1" applyFill="1" applyBorder="1"/>
    <xf numFmtId="10" fontId="5" fillId="5" borderId="4" xfId="2" applyNumberFormat="1" applyFont="1" applyFill="1" applyBorder="1"/>
    <xf numFmtId="0" fontId="38" fillId="0" borderId="0" xfId="0" applyFont="1" applyFill="1" applyAlignment="1">
      <alignment horizontal="center"/>
    </xf>
    <xf numFmtId="6" fontId="0" fillId="0" borderId="0" xfId="0" applyNumberFormat="1"/>
    <xf numFmtId="10" fontId="0" fillId="0" borderId="0" xfId="0" applyNumberFormat="1"/>
    <xf numFmtId="0" fontId="2" fillId="7" borderId="0" xfId="0" applyFont="1" applyFill="1"/>
    <xf numFmtId="42" fontId="4" fillId="3" borderId="30" xfId="0" applyNumberFormat="1" applyFont="1" applyFill="1" applyBorder="1"/>
    <xf numFmtId="42" fontId="5" fillId="7" borderId="3" xfId="0" applyNumberFormat="1" applyFont="1" applyFill="1" applyBorder="1"/>
    <xf numFmtId="166" fontId="8" fillId="6" borderId="0" xfId="0" applyNumberFormat="1" applyFont="1" applyFill="1"/>
    <xf numFmtId="42" fontId="0" fillId="2" borderId="6" xfId="0" applyNumberFormat="1" applyFill="1" applyBorder="1"/>
    <xf numFmtId="42" fontId="25" fillId="0" borderId="5" xfId="0" applyNumberFormat="1" applyFont="1" applyFill="1" applyBorder="1"/>
    <xf numFmtId="42" fontId="20" fillId="0" borderId="31" xfId="0" applyNumberFormat="1" applyFont="1" applyFill="1" applyBorder="1"/>
    <xf numFmtId="0" fontId="4" fillId="0" borderId="0" xfId="0" applyFont="1" applyAlignment="1">
      <alignment horizontal="center"/>
    </xf>
    <xf numFmtId="42" fontId="19" fillId="0" borderId="5" xfId="0" applyNumberFormat="1" applyFont="1" applyBorder="1"/>
    <xf numFmtId="42" fontId="32" fillId="0" borderId="7" xfId="0" applyNumberFormat="1" applyFont="1" applyFill="1" applyBorder="1"/>
    <xf numFmtId="42" fontId="19" fillId="2" borderId="5" xfId="0" applyNumberFormat="1" applyFont="1" applyFill="1" applyBorder="1"/>
    <xf numFmtId="42" fontId="19" fillId="0" borderId="5" xfId="0" applyNumberFormat="1" applyFont="1" applyFill="1" applyBorder="1"/>
    <xf numFmtId="42" fontId="19" fillId="6" borderId="5" xfId="0" applyNumberFormat="1" applyFont="1" applyFill="1" applyBorder="1"/>
    <xf numFmtId="0" fontId="4" fillId="0" borderId="0" xfId="0" applyFont="1" applyAlignment="1">
      <alignment horizontal="center"/>
    </xf>
    <xf numFmtId="0" fontId="41" fillId="0" borderId="0" xfId="0" applyFont="1" applyFill="1" applyBorder="1" applyAlignment="1">
      <alignment horizontal="center" vertical="center"/>
    </xf>
    <xf numFmtId="42" fontId="20" fillId="8" borderId="5" xfId="0" applyNumberFormat="1" applyFont="1" applyFill="1" applyBorder="1"/>
    <xf numFmtId="42" fontId="19" fillId="8" borderId="5" xfId="0" applyNumberFormat="1" applyFont="1" applyFill="1" applyBorder="1"/>
    <xf numFmtId="42" fontId="0" fillId="0" borderId="6" xfId="0" applyNumberFormat="1" applyFill="1" applyBorder="1"/>
    <xf numFmtId="9" fontId="0" fillId="0" borderId="6" xfId="0" applyNumberForma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8" fontId="26" fillId="0" borderId="7" xfId="0" applyNumberFormat="1" applyFont="1" applyFill="1" applyBorder="1"/>
    <xf numFmtId="0" fontId="4" fillId="0" borderId="0" xfId="0" applyFont="1" applyAlignment="1">
      <alignment horizontal="center"/>
    </xf>
    <xf numFmtId="168" fontId="29" fillId="0" borderId="11" xfId="0" applyNumberFormat="1" applyFont="1" applyFill="1" applyBorder="1"/>
    <xf numFmtId="42" fontId="22" fillId="0" borderId="5" xfId="0" applyNumberFormat="1" applyFont="1" applyBorder="1"/>
    <xf numFmtId="0" fontId="25" fillId="0" borderId="0" xfId="0" applyFont="1"/>
    <xf numFmtId="167" fontId="0" fillId="0" borderId="0" xfId="0" applyNumberFormat="1" applyFill="1"/>
    <xf numFmtId="167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6" fontId="0" fillId="0" borderId="0" xfId="0" applyNumberFormat="1"/>
    <xf numFmtId="0" fontId="4" fillId="0" borderId="0" xfId="0" applyFont="1" applyAlignment="1">
      <alignment horizontal="center"/>
    </xf>
    <xf numFmtId="3" fontId="0" fillId="0" borderId="0" xfId="0" applyNumberFormat="1" applyFill="1"/>
    <xf numFmtId="1" fontId="0" fillId="0" borderId="32" xfId="0" applyNumberFormat="1" applyFill="1" applyBorder="1"/>
    <xf numFmtId="0" fontId="4" fillId="0" borderId="0" xfId="0" applyFont="1" applyAlignment="1">
      <alignment horizontal="center"/>
    </xf>
    <xf numFmtId="42" fontId="0" fillId="6" borderId="6" xfId="0" applyNumberFormat="1" applyFill="1" applyBorder="1"/>
    <xf numFmtId="0" fontId="0" fillId="6" borderId="0" xfId="0" applyFill="1"/>
    <xf numFmtId="0" fontId="18" fillId="5" borderId="16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22" fillId="0" borderId="17" xfId="0" applyFont="1" applyFill="1" applyBorder="1" applyAlignment="1">
      <alignment horizontal="left" shrinkToFit="1"/>
    </xf>
    <xf numFmtId="0" fontId="22" fillId="0" borderId="26" xfId="0" applyFont="1" applyFill="1" applyBorder="1" applyAlignment="1">
      <alignment horizontal="left" shrinkToFit="1"/>
    </xf>
    <xf numFmtId="0" fontId="10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10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9" fillId="10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FFFF99"/>
      <color rgb="FFFF3300"/>
      <color rgb="FF619428"/>
      <color rgb="FF2D45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1"/>
          <c:order val="0"/>
          <c:dLbls>
            <c:dLbl>
              <c:idx val="0"/>
              <c:layout>
                <c:manualLayout>
                  <c:x val="-0.12238773603257981"/>
                  <c:y val="-1.12943037386116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F09-409C-BA31-3EEEFBCC858E}"/>
                </c:ext>
              </c:extLst>
            </c:dLbl>
            <c:dLbl>
              <c:idx val="1"/>
              <c:layout>
                <c:manualLayout>
                  <c:x val="6.4215987094205285E-2"/>
                  <c:y val="-0.1338458023096088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F09-409C-BA31-3EEEFBCC858E}"/>
                </c:ext>
              </c:extLst>
            </c:dLbl>
            <c:dLbl>
              <c:idx val="2"/>
              <c:layout>
                <c:manualLayout>
                  <c:x val="7.0847929118357633E-2"/>
                  <c:y val="-6.94525506394865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09A-46DA-8813-B9AE6BDE87F5}"/>
                </c:ext>
              </c:extLst>
            </c:dLbl>
            <c:dLbl>
              <c:idx val="3"/>
              <c:layout>
                <c:manualLayout>
                  <c:x val="-2.2403739844111994E-2"/>
                  <c:y val="5.378681781834407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F09-409C-BA31-3EEEFBCC858E}"/>
                </c:ext>
              </c:extLst>
            </c:dLbl>
            <c:dLbl>
              <c:idx val="5"/>
              <c:layout>
                <c:manualLayout>
                  <c:x val="7.4983268663128599E-2"/>
                  <c:y val="3.92216340495027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09A-46DA-8813-B9AE6BDE87F5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C717-4411-AB34-C67D13AF8019}"/>
                </c:ext>
              </c:extLst>
            </c:dLbl>
            <c:dLbl>
              <c:idx val="7"/>
              <c:layout>
                <c:manualLayout>
                  <c:x val="5.1744592099346558E-2"/>
                  <c:y val="0.150830876381288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09A-46DA-8813-B9AE6BDE87F5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Summary!$D$21:$D$28</c:f>
              <c:strCache>
                <c:ptCount val="8"/>
                <c:pt idx="0">
                  <c:v>Salaries</c:v>
                </c:pt>
                <c:pt idx="1">
                  <c:v>Benefits</c:v>
                </c:pt>
                <c:pt idx="2">
                  <c:v>Prof &amp; Technical Services</c:v>
                </c:pt>
                <c:pt idx="3">
                  <c:v>Purchased Property Services</c:v>
                </c:pt>
                <c:pt idx="4">
                  <c:v>Other Purchase Services</c:v>
                </c:pt>
                <c:pt idx="5">
                  <c:v>Supplies and Materials</c:v>
                </c:pt>
                <c:pt idx="6">
                  <c:v>Property, Equipment</c:v>
                </c:pt>
                <c:pt idx="7">
                  <c:v>Debt Service and Misc</c:v>
                </c:pt>
              </c:strCache>
            </c:strRef>
          </c:cat>
          <c:val>
            <c:numRef>
              <c:f>Summary!$G$21:$G$28</c:f>
              <c:numCache>
                <c:formatCode>_("$"* #,##0_);_("$"* \(#,##0\);_("$"* "-"_);_(@_)</c:formatCode>
                <c:ptCount val="8"/>
                <c:pt idx="0">
                  <c:v>1943599</c:v>
                </c:pt>
                <c:pt idx="1">
                  <c:v>563541</c:v>
                </c:pt>
                <c:pt idx="2">
                  <c:v>318595</c:v>
                </c:pt>
                <c:pt idx="3">
                  <c:v>77800</c:v>
                </c:pt>
                <c:pt idx="4">
                  <c:v>63397</c:v>
                </c:pt>
                <c:pt idx="5">
                  <c:v>321542</c:v>
                </c:pt>
                <c:pt idx="6">
                  <c:v>219648</c:v>
                </c:pt>
                <c:pt idx="7">
                  <c:v>375934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09-409C-BA31-3EEEFBCC858E}"/>
            </c:ext>
          </c:extLst>
        </c:ser>
        <c:ser>
          <c:idx val="0"/>
          <c:order val="1"/>
          <c:dLbls>
            <c:dLbl>
              <c:idx val="0"/>
              <c:layout>
                <c:manualLayout>
                  <c:x val="-0.13142627989716435"/>
                  <c:y val="4.692811790152306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09-409C-BA31-3EEEFBCC858E}"/>
                </c:ext>
              </c:extLst>
            </c:dLbl>
            <c:dLbl>
              <c:idx val="2"/>
              <c:layout>
                <c:manualLayout>
                  <c:x val="5.2285512309421557E-2"/>
                  <c:y val="1.76778141578743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09-409C-BA31-3EEEFBCC858E}"/>
                </c:ext>
              </c:extLst>
            </c:dLbl>
            <c:dLbl>
              <c:idx val="3"/>
              <c:layout>
                <c:manualLayout>
                  <c:x val="-1.2118290484396693E-2"/>
                  <c:y val="3.51786559900718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09-409C-BA31-3EEEFBCC858E}"/>
                </c:ext>
              </c:extLst>
            </c:dLbl>
            <c:dLbl>
              <c:idx val="4"/>
              <c:layout>
                <c:manualLayout>
                  <c:x val="-2.7537611067024934E-2"/>
                  <c:y val="-2.793603046218904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09-409C-BA31-3EEEFBCC858E}"/>
                </c:ext>
              </c:extLst>
            </c:dLbl>
            <c:dLbl>
              <c:idx val="7"/>
              <c:layout>
                <c:manualLayout>
                  <c:x val="8.2953676169483251E-2"/>
                  <c:y val="0.1616348712272567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F09-409C-BA31-3EEEFBCC858E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Summary!$D$21:$D$28</c:f>
              <c:strCache>
                <c:ptCount val="8"/>
                <c:pt idx="0">
                  <c:v>Salaries</c:v>
                </c:pt>
                <c:pt idx="1">
                  <c:v>Benefits</c:v>
                </c:pt>
                <c:pt idx="2">
                  <c:v>Prof &amp; Technical Services</c:v>
                </c:pt>
                <c:pt idx="3">
                  <c:v>Purchased Property Services</c:v>
                </c:pt>
                <c:pt idx="4">
                  <c:v>Other Purchase Services</c:v>
                </c:pt>
                <c:pt idx="5">
                  <c:v>Supplies and Materials</c:v>
                </c:pt>
                <c:pt idx="6">
                  <c:v>Property, Equipment</c:v>
                </c:pt>
                <c:pt idx="7">
                  <c:v>Debt Service and Misc</c:v>
                </c:pt>
              </c:strCache>
            </c:strRef>
          </c:cat>
          <c:val>
            <c:numRef>
              <c:f>[1]Summary!$E$22:$E$29</c:f>
              <c:numCache>
                <c:formatCode>General</c:formatCode>
                <c:ptCount val="8"/>
                <c:pt idx="0">
                  <c:v>2296156</c:v>
                </c:pt>
                <c:pt idx="1">
                  <c:v>589935</c:v>
                </c:pt>
                <c:pt idx="2">
                  <c:v>201569</c:v>
                </c:pt>
                <c:pt idx="3">
                  <c:v>71984</c:v>
                </c:pt>
                <c:pt idx="4">
                  <c:v>33085</c:v>
                </c:pt>
                <c:pt idx="5">
                  <c:v>384008</c:v>
                </c:pt>
                <c:pt idx="6">
                  <c:v>278339</c:v>
                </c:pt>
                <c:pt idx="7">
                  <c:v>1172971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F09-409C-BA31-3EEEFBCC858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3618525444860019"/>
          <c:y val="5.6632656226870998E-2"/>
          <c:w val="0.33934594757507225"/>
          <c:h val="0.88782626577425727"/>
        </c:manualLayout>
      </c:layout>
      <c:overlay val="0"/>
      <c:txPr>
        <a:bodyPr/>
        <a:lstStyle/>
        <a:p>
          <a:pPr rtl="0">
            <a:defRPr sz="9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06" l="0.70000000000000062" r="0.70000000000000062" t="0.75000000000000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76085659747227"/>
          <c:y val="0.18332924464843944"/>
          <c:w val="0.72904514128716369"/>
          <c:h val="0.57344095807119921"/>
        </c:manualLayout>
      </c:layout>
      <c:lineChart>
        <c:grouping val="standard"/>
        <c:varyColors val="0"/>
        <c:ser>
          <c:idx val="0"/>
          <c:order val="0"/>
          <c:tx>
            <c:strRef>
              <c:f>'Summary Support'!$C$2</c:f>
              <c:strCache>
                <c:ptCount val="1"/>
                <c:pt idx="0">
                  <c:v>High</c:v>
                </c:pt>
              </c:strCache>
            </c:strRef>
          </c:tx>
          <c:marker>
            <c:symbol val="none"/>
          </c:marker>
          <c:cat>
            <c:strRef>
              <c:f>'Summary Support'!$B$3:$B$14</c:f>
              <c:strCache>
                <c:ptCount val="12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J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</c:strCache>
            </c:strRef>
          </c:cat>
          <c:val>
            <c:numRef>
              <c:f>'Summary Support'!$C$3:$C$14</c:f>
              <c:numCache>
                <c:formatCode>_("$"* #,##0_);_("$"* \(#,##0\);_("$"* "-"_);_(@_)</c:formatCode>
                <c:ptCount val="12"/>
                <c:pt idx="0">
                  <c:v>1466989</c:v>
                </c:pt>
                <c:pt idx="1">
                  <c:v>1445134</c:v>
                </c:pt>
                <c:pt idx="2">
                  <c:v>1701095</c:v>
                </c:pt>
                <c:pt idx="3">
                  <c:v>1718322</c:v>
                </c:pt>
                <c:pt idx="4">
                  <c:v>1724608</c:v>
                </c:pt>
                <c:pt idx="5">
                  <c:v>1664465</c:v>
                </c:pt>
                <c:pt idx="6">
                  <c:v>1686563</c:v>
                </c:pt>
                <c:pt idx="7">
                  <c:v>1694873</c:v>
                </c:pt>
                <c:pt idx="8">
                  <c:v>1627374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9-4662-B4C5-75B8E1B78F7B}"/>
            </c:ext>
          </c:extLst>
        </c:ser>
        <c:ser>
          <c:idx val="1"/>
          <c:order val="1"/>
          <c:tx>
            <c:strRef>
              <c:f>'Summary Support'!$D$2</c:f>
              <c:strCache>
                <c:ptCount val="1"/>
                <c:pt idx="0">
                  <c:v>Low</c:v>
                </c:pt>
              </c:strCache>
            </c:strRef>
          </c:tx>
          <c:marker>
            <c:symbol val="none"/>
          </c:marker>
          <c:cat>
            <c:strRef>
              <c:f>'Summary Support'!$B$3:$B$14</c:f>
              <c:strCache>
                <c:ptCount val="12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J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</c:strCache>
            </c:strRef>
          </c:cat>
          <c:val>
            <c:numRef>
              <c:f>'Summary Support'!$D$3:$D$14</c:f>
              <c:numCache>
                <c:formatCode>_("$"* #,##0_);_("$"* \(#,##0\);_("$"* "-"_);_(@_)</c:formatCode>
                <c:ptCount val="12"/>
                <c:pt idx="0">
                  <c:v>1105913</c:v>
                </c:pt>
                <c:pt idx="1">
                  <c:v>1192120</c:v>
                </c:pt>
                <c:pt idx="2">
                  <c:v>1080500</c:v>
                </c:pt>
                <c:pt idx="3">
                  <c:v>1380076</c:v>
                </c:pt>
                <c:pt idx="4">
                  <c:v>1408737</c:v>
                </c:pt>
                <c:pt idx="5">
                  <c:v>1359450</c:v>
                </c:pt>
                <c:pt idx="6">
                  <c:v>1371662</c:v>
                </c:pt>
                <c:pt idx="7">
                  <c:v>1394774</c:v>
                </c:pt>
                <c:pt idx="8">
                  <c:v>1342398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9-4662-B4C5-75B8E1B78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962056"/>
        <c:axId val="757962448"/>
      </c:lineChart>
      <c:catAx>
        <c:axId val="757962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57962448"/>
        <c:crosses val="autoZero"/>
        <c:auto val="1"/>
        <c:lblAlgn val="ctr"/>
        <c:lblOffset val="100"/>
        <c:noMultiLvlLbl val="0"/>
      </c:catAx>
      <c:valAx>
        <c:axId val="757962448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_);_(@_)" sourceLinked="1"/>
        <c:majorTickMark val="out"/>
        <c:minorTickMark val="none"/>
        <c:tickLblPos val="nextTo"/>
        <c:crossAx val="757962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3907152230971427"/>
          <c:y val="0.835882379109391"/>
          <c:w val="0.39198908375089858"/>
          <c:h val="0.1612803060634372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91172140067858"/>
          <c:y val="0.16790886794888338"/>
          <c:w val="0.74468573706768093"/>
          <c:h val="0.54896476055247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Support'!$G$3</c:f>
              <c:strCache>
                <c:ptCount val="1"/>
                <c:pt idx="0">
                  <c:v>Revenues</c:v>
                </c:pt>
              </c:strCache>
            </c:strRef>
          </c:tx>
          <c:invertIfNegative val="0"/>
          <c:cat>
            <c:strRef>
              <c:f>'Summary Support'!$H$2:$S$2</c:f>
              <c:strCache>
                <c:ptCount val="12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J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</c:strCache>
            </c:strRef>
          </c:cat>
          <c:val>
            <c:numRef>
              <c:f>'Summary Support'!$H$3:$S$3</c:f>
              <c:numCache>
                <c:formatCode>_(* #,##0_);_(* \(#,##0\);_(* "-"??_);_(@_)</c:formatCode>
                <c:ptCount val="12"/>
                <c:pt idx="0">
                  <c:v>314694</c:v>
                </c:pt>
                <c:pt idx="1">
                  <c:v>258130</c:v>
                </c:pt>
                <c:pt idx="2">
                  <c:v>286334</c:v>
                </c:pt>
                <c:pt idx="3">
                  <c:v>300609</c:v>
                </c:pt>
                <c:pt idx="4">
                  <c:v>335640</c:v>
                </c:pt>
                <c:pt idx="5">
                  <c:v>307567</c:v>
                </c:pt>
                <c:pt idx="6">
                  <c:v>315609</c:v>
                </c:pt>
                <c:pt idx="7">
                  <c:v>300079</c:v>
                </c:pt>
                <c:pt idx="8">
                  <c:v>295024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6-4BCA-A6B4-694E038EBEFA}"/>
            </c:ext>
          </c:extLst>
        </c:ser>
        <c:ser>
          <c:idx val="1"/>
          <c:order val="1"/>
          <c:tx>
            <c:strRef>
              <c:f>'Summary Support'!$G$4</c:f>
              <c:strCache>
                <c:ptCount val="1"/>
                <c:pt idx="0">
                  <c:v>Expenses</c:v>
                </c:pt>
              </c:strCache>
            </c:strRef>
          </c:tx>
          <c:invertIfNegative val="0"/>
          <c:cat>
            <c:strRef>
              <c:f>'Summary Support'!$H$2:$S$2</c:f>
              <c:strCache>
                <c:ptCount val="12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J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</c:strCache>
            </c:strRef>
          </c:cat>
          <c:val>
            <c:numRef>
              <c:f>'Summary Support'!$H$4:$S$4</c:f>
              <c:numCache>
                <c:formatCode>_(* #,##0_);_(* \(#,##0\);_(* "-"??_);_(@_)</c:formatCode>
                <c:ptCount val="12"/>
                <c:pt idx="0">
                  <c:v>252564</c:v>
                </c:pt>
                <c:pt idx="1">
                  <c:v>295865</c:v>
                </c:pt>
                <c:pt idx="2">
                  <c:v>395036</c:v>
                </c:pt>
                <c:pt idx="3">
                  <c:v>312343</c:v>
                </c:pt>
                <c:pt idx="4">
                  <c:v>312284</c:v>
                </c:pt>
                <c:pt idx="5">
                  <c:v>309698</c:v>
                </c:pt>
                <c:pt idx="6">
                  <c:v>298001</c:v>
                </c:pt>
                <c:pt idx="7">
                  <c:v>275946</c:v>
                </c:pt>
                <c:pt idx="8">
                  <c:v>416568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6-4BCA-A6B4-694E038EB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7963232"/>
        <c:axId val="761552776"/>
      </c:barChart>
      <c:catAx>
        <c:axId val="757963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61552776"/>
        <c:crosses val="autoZero"/>
        <c:auto val="1"/>
        <c:lblAlgn val="ctr"/>
        <c:lblOffset val="100"/>
        <c:noMultiLvlLbl val="0"/>
      </c:catAx>
      <c:valAx>
        <c:axId val="76155277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757963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550184391508241"/>
          <c:y val="0.82637278946689052"/>
          <c:w val="0.4332407487525598"/>
          <c:h val="0.170497827115872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Summary!$N$38:$V$38</c:f>
              <c:strCache>
                <c:ptCount val="9"/>
                <c:pt idx="0">
                  <c:v>S</c:v>
                </c:pt>
                <c:pt idx="1">
                  <c:v>O</c:v>
                </c:pt>
                <c:pt idx="2">
                  <c:v>N</c:v>
                </c:pt>
                <c:pt idx="3">
                  <c:v>D</c:v>
                </c:pt>
                <c:pt idx="4">
                  <c:v>J</c:v>
                </c:pt>
                <c:pt idx="5">
                  <c:v>F</c:v>
                </c:pt>
                <c:pt idx="6">
                  <c:v>M</c:v>
                </c:pt>
                <c:pt idx="7">
                  <c:v>A</c:v>
                </c:pt>
                <c:pt idx="8">
                  <c:v>M</c:v>
                </c:pt>
              </c:strCache>
            </c:strRef>
          </c:cat>
          <c:val>
            <c:numRef>
              <c:f>Summary!$N$48:$V$48</c:f>
              <c:numCache>
                <c:formatCode>General</c:formatCode>
                <c:ptCount val="9"/>
                <c:pt idx="0">
                  <c:v>355</c:v>
                </c:pt>
                <c:pt idx="1">
                  <c:v>345</c:v>
                </c:pt>
                <c:pt idx="2">
                  <c:v>352</c:v>
                </c:pt>
                <c:pt idx="3">
                  <c:v>346</c:v>
                </c:pt>
                <c:pt idx="4">
                  <c:v>343</c:v>
                </c:pt>
                <c:pt idx="5">
                  <c:v>344</c:v>
                </c:pt>
                <c:pt idx="6">
                  <c:v>345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E4-4275-BE5A-F9CF7BC08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1553560"/>
        <c:axId val="761553952"/>
      </c:barChart>
      <c:catAx>
        <c:axId val="761553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61553952"/>
        <c:crosses val="autoZero"/>
        <c:auto val="1"/>
        <c:lblAlgn val="ctr"/>
        <c:lblOffset val="100"/>
        <c:noMultiLvlLbl val="0"/>
      </c:catAx>
      <c:valAx>
        <c:axId val="76155395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1553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578644</xdr:colOff>
      <xdr:row>9</xdr:row>
      <xdr:rowOff>1058</xdr:rowOff>
    </xdr:from>
    <xdr:to>
      <xdr:col>18</xdr:col>
      <xdr:colOff>163777</xdr:colOff>
      <xdr:row>20</xdr:row>
      <xdr:rowOff>121443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25</xdr:col>
      <xdr:colOff>260350</xdr:colOff>
      <xdr:row>53</xdr:row>
      <xdr:rowOff>16934</xdr:rowOff>
    </xdr:from>
    <xdr:to>
      <xdr:col>26</xdr:col>
      <xdr:colOff>222068</xdr:colOff>
      <xdr:row>55</xdr:row>
      <xdr:rowOff>35984</xdr:rowOff>
    </xdr:to>
    <xdr:pic>
      <xdr:nvPicPr>
        <xdr:cNvPr id="3" name="Picture 2" descr="logo_icon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071600" y="10542059"/>
          <a:ext cx="542742" cy="400050"/>
        </a:xfrm>
        <a:prstGeom prst="rect">
          <a:avLst/>
        </a:prstGeom>
      </xdr:spPr>
    </xdr:pic>
    <xdr:clientData/>
  </xdr:twoCellAnchor>
  <xdr:oneCellAnchor>
    <xdr:from>
      <xdr:col>19</xdr:col>
      <xdr:colOff>231776</xdr:colOff>
      <xdr:row>25</xdr:row>
      <xdr:rowOff>173565</xdr:rowOff>
    </xdr:from>
    <xdr:ext cx="2942165" cy="836085"/>
    <xdr:sp macro="" textlink="">
      <xdr:nvSpPr>
        <xdr:cNvPr id="4" name="TextBox 3"/>
        <xdr:cNvSpPr txBox="1"/>
      </xdr:nvSpPr>
      <xdr:spPr>
        <a:xfrm>
          <a:off x="11356976" y="5193240"/>
          <a:ext cx="2942165" cy="836085"/>
        </a:xfrm>
        <a:prstGeom prst="rect">
          <a:avLst/>
        </a:prstGeom>
        <a:solidFill>
          <a:schemeClr val="bg2">
            <a:lumMod val="90000"/>
          </a:schemeClr>
        </a:solidFill>
        <a:ln>
          <a:solidFill>
            <a:schemeClr val="tx2">
              <a:lumMod val="50000"/>
            </a:schemeClr>
          </a:solidFill>
        </a:ln>
        <a:effectLst>
          <a:outerShdw blurRad="50800" dist="50800" dir="5400000" algn="ctr" rotWithShape="0">
            <a:schemeClr val="bg1"/>
          </a:outerShdw>
        </a:effectLst>
        <a:scene3d>
          <a:camera prst="orthographicFront"/>
          <a:lightRig rig="threePt" dir="t"/>
        </a:scene3d>
        <a:sp3d>
          <a:bevelB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l"/>
          <a:r>
            <a:rPr lang="en-US" sz="1100" b="0" i="1" u="sng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Cash Reserve</a:t>
          </a:r>
          <a:r>
            <a:rPr lang="en-US" i="1" u="sng"/>
            <a:t> </a:t>
          </a:r>
          <a:r>
            <a:rPr lang="en-US" baseline="0"/>
            <a:t> 	             </a:t>
          </a:r>
          <a:r>
            <a:rPr lang="en-US" u="sng" baseline="0"/>
            <a:t>Operating Margin</a:t>
          </a:r>
          <a:r>
            <a:rPr lang="en-US" i="1" u="sng" baseline="0"/>
            <a:t> </a:t>
          </a:r>
        </a:p>
        <a:p>
          <a:pPr algn="l"/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             $0-$300,000</a:t>
          </a:r>
          <a:r>
            <a:rPr lang="en-US"/>
            <a:t>                  5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%</a:t>
          </a:r>
          <a:r>
            <a:rPr lang="en-US"/>
            <a:t> 	</a:t>
          </a:r>
          <a:endParaRPr lang="en-US" sz="1100" b="0" i="0" u="none" strike="noStrike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l"/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 $300,000-$600,000</a:t>
          </a:r>
          <a:r>
            <a:rPr lang="en-US"/>
            <a:t>                 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4%</a:t>
          </a:r>
          <a:r>
            <a:rPr lang="en-US"/>
            <a:t>       	</a:t>
          </a:r>
        </a:p>
        <a:p>
          <a:pPr algn="l"/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 $600,000-and above</a:t>
          </a:r>
          <a:r>
            <a:rPr lang="en-US"/>
            <a:t>               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3%		</a:t>
          </a:r>
          <a:endParaRPr lang="en-US"/>
        </a:p>
      </xdr:txBody>
    </xdr:sp>
    <xdr:clientData/>
  </xdr:oneCellAnchor>
  <xdr:twoCellAnchor>
    <xdr:from>
      <xdr:col>10</xdr:col>
      <xdr:colOff>161925</xdr:colOff>
      <xdr:row>25</xdr:row>
      <xdr:rowOff>142876</xdr:rowOff>
    </xdr:from>
    <xdr:to>
      <xdr:col>10</xdr:col>
      <xdr:colOff>714375</xdr:colOff>
      <xdr:row>28</xdr:row>
      <xdr:rowOff>133351</xdr:rowOff>
    </xdr:to>
    <xdr:sp macro="" textlink="">
      <xdr:nvSpPr>
        <xdr:cNvPr id="5" name="Oval 4"/>
        <xdr:cNvSpPr/>
      </xdr:nvSpPr>
      <xdr:spPr>
        <a:xfrm>
          <a:off x="7867650" y="5162551"/>
          <a:ext cx="552450" cy="571500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0</xdr:colOff>
      <xdr:row>39</xdr:row>
      <xdr:rowOff>66676</xdr:rowOff>
    </xdr:from>
    <xdr:to>
      <xdr:col>5</xdr:col>
      <xdr:colOff>323850</xdr:colOff>
      <xdr:row>49</xdr:row>
      <xdr:rowOff>9526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578643</xdr:colOff>
      <xdr:row>21</xdr:row>
      <xdr:rowOff>23813</xdr:rowOff>
    </xdr:from>
    <xdr:to>
      <xdr:col>18</xdr:col>
      <xdr:colOff>169068</xdr:colOff>
      <xdr:row>33</xdr:row>
      <xdr:rowOff>23813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9</xdr:col>
      <xdr:colOff>733425</xdr:colOff>
      <xdr:row>21</xdr:row>
      <xdr:rowOff>76200</xdr:rowOff>
    </xdr:from>
    <xdr:ext cx="1956561" cy="264560"/>
    <xdr:sp macro="" textlink="">
      <xdr:nvSpPr>
        <xdr:cNvPr id="8" name="TextBox 7"/>
        <xdr:cNvSpPr txBox="1"/>
      </xdr:nvSpPr>
      <xdr:spPr>
        <a:xfrm>
          <a:off x="7591425" y="4333875"/>
          <a:ext cx="19565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Monthly Revenue to Expenses</a:t>
          </a:r>
        </a:p>
      </xdr:txBody>
    </xdr:sp>
    <xdr:clientData/>
  </xdr:oneCellAnchor>
  <xdr:oneCellAnchor>
    <xdr:from>
      <xdr:col>3</xdr:col>
      <xdr:colOff>704850</xdr:colOff>
      <xdr:row>39</xdr:row>
      <xdr:rowOff>104775</xdr:rowOff>
    </xdr:from>
    <xdr:ext cx="988476" cy="264560"/>
    <xdr:sp macro="" textlink="">
      <xdr:nvSpPr>
        <xdr:cNvPr id="9" name="TextBox 8"/>
        <xdr:cNvSpPr txBox="1"/>
      </xdr:nvSpPr>
      <xdr:spPr>
        <a:xfrm>
          <a:off x="1314450" y="7943850"/>
          <a:ext cx="9884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Bank Account</a:t>
          </a:r>
        </a:p>
      </xdr:txBody>
    </xdr:sp>
    <xdr:clientData/>
  </xdr:oneCellAnchor>
  <xdr:twoCellAnchor>
    <xdr:from>
      <xdr:col>22</xdr:col>
      <xdr:colOff>95251</xdr:colOff>
      <xdr:row>36</xdr:row>
      <xdr:rowOff>180974</xdr:rowOff>
    </xdr:from>
    <xdr:to>
      <xdr:col>26</xdr:col>
      <xdr:colOff>571500</xdr:colOff>
      <xdr:row>48</xdr:row>
      <xdr:rowOff>200024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108479</xdr:colOff>
      <xdr:row>1</xdr:row>
      <xdr:rowOff>99219</xdr:rowOff>
    </xdr:from>
    <xdr:to>
      <xdr:col>4</xdr:col>
      <xdr:colOff>886354</xdr:colOff>
      <xdr:row>5</xdr:row>
      <xdr:rowOff>80696</xdr:rowOff>
    </xdr:to>
    <xdr:pic>
      <xdr:nvPicPr>
        <xdr:cNvPr id="12" name="Picture 11" descr="http://www.ilovegreenwood.org/GreenWood/GW/templates/greenwood8/images/logo-415592771.pn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062" y="247386"/>
          <a:ext cx="2968625" cy="902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127636</xdr:colOff>
      <xdr:row>1</xdr:row>
      <xdr:rowOff>24765</xdr:rowOff>
    </xdr:from>
    <xdr:to>
      <xdr:col>3</xdr:col>
      <xdr:colOff>1775461</xdr:colOff>
      <xdr:row>3</xdr:row>
      <xdr:rowOff>315310</xdr:rowOff>
    </xdr:to>
    <xdr:pic>
      <xdr:nvPicPr>
        <xdr:cNvPr id="4" name="Picture 3" descr="http://www.ilovegreenwood.org/GreenWood/GW/templates/greenwood8/images/logo-41559277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1" y="577215"/>
          <a:ext cx="2390775" cy="738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0</xdr:row>
      <xdr:rowOff>133350</xdr:rowOff>
    </xdr:from>
    <xdr:ext cx="4533900" cy="309033"/>
    <xdr:sp macro="" textlink="">
      <xdr:nvSpPr>
        <xdr:cNvPr id="5" name="TextBox 4"/>
        <xdr:cNvSpPr txBox="1"/>
      </xdr:nvSpPr>
      <xdr:spPr>
        <a:xfrm>
          <a:off x="3000375" y="133350"/>
          <a:ext cx="4533900" cy="309033"/>
        </a:xfrm>
        <a:prstGeom prst="rect">
          <a:avLst/>
        </a:prstGeom>
        <a:solidFill>
          <a:schemeClr val="tx1"/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 anchor="t">
          <a:noAutofit/>
        </a:bodyPr>
        <a:lstStyle/>
        <a:p>
          <a:r>
            <a:rPr lang="en-US" sz="1100"/>
            <a:t>     Actual as </a:t>
          </a:r>
          <a:r>
            <a:rPr lang="en-US" sz="1100">
              <a:ln>
                <a:noFill/>
              </a:ln>
              <a:solidFill>
                <a:schemeClr val="bg1"/>
              </a:solidFill>
            </a:rPr>
            <a:t>of</a:t>
          </a:r>
          <a:r>
            <a:rPr lang="en-US" sz="1100" baseline="0">
              <a:ln>
                <a:noFill/>
              </a:ln>
              <a:solidFill>
                <a:schemeClr val="bg1"/>
              </a:solidFill>
            </a:rPr>
            <a:t> March 31</a:t>
          </a:r>
          <a:r>
            <a:rPr lang="en-US" sz="1100">
              <a:ln>
                <a:noFill/>
              </a:ln>
              <a:solidFill>
                <a:schemeClr val="bg1"/>
              </a:solidFill>
            </a:rPr>
            <a:t>, 2022</a:t>
          </a:r>
          <a:r>
            <a:rPr lang="en-US" sz="1100" baseline="0">
              <a:ln>
                <a:noFill/>
              </a:ln>
              <a:solidFill>
                <a:schemeClr val="bg1"/>
              </a:solidFill>
            </a:rPr>
            <a:t> </a:t>
          </a:r>
          <a:r>
            <a:rPr lang="en-US" sz="1200" b="1" i="1" baseline="0"/>
            <a:t>                   </a:t>
          </a:r>
          <a:r>
            <a:rPr lang="en-US" sz="1100" baseline="0"/>
            <a:t>P</a:t>
          </a:r>
          <a:r>
            <a:rPr lang="en-US" sz="1100"/>
            <a:t>ercentage of</a:t>
          </a:r>
          <a:r>
            <a:rPr lang="en-US" sz="1100" baseline="0"/>
            <a:t> Year: 75.0</a:t>
          </a:r>
          <a:r>
            <a:rPr lang="en-US" sz="1100" b="1" i="1" baseline="0"/>
            <a:t>%</a:t>
          </a:r>
          <a:endParaRPr lang="en-US" sz="1400" b="1" i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hayne/George%20Washington%20Academy/Budget/FY16/GWA%20Financial%20Report%20April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udget Detail"/>
      <sheetName val="Summary support"/>
    </sheetNames>
    <sheetDataSet>
      <sheetData sheetId="0">
        <row r="22">
          <cell r="D22" t="str">
            <v>Salaries</v>
          </cell>
          <cell r="E22">
            <v>2296156</v>
          </cell>
        </row>
        <row r="23">
          <cell r="E23">
            <v>589935</v>
          </cell>
        </row>
        <row r="24">
          <cell r="E24">
            <v>201569</v>
          </cell>
        </row>
        <row r="25">
          <cell r="E25">
            <v>71984</v>
          </cell>
        </row>
        <row r="26">
          <cell r="E26">
            <v>33085</v>
          </cell>
        </row>
        <row r="27">
          <cell r="E27">
            <v>384008</v>
          </cell>
        </row>
        <row r="28">
          <cell r="E28">
            <v>278339</v>
          </cell>
        </row>
        <row r="29">
          <cell r="E29">
            <v>1172971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63"/>
  <sheetViews>
    <sheetView showGridLines="0" tabSelected="1" zoomScale="80" zoomScaleNormal="80" workbookViewId="0">
      <selection activeCell="H34" sqref="H34"/>
    </sheetView>
  </sheetViews>
  <sheetFormatPr defaultRowHeight="15" x14ac:dyDescent="0.25"/>
  <cols>
    <col min="1" max="1" width="2.28515625" customWidth="1"/>
    <col min="2" max="2" width="1.7109375" customWidth="1"/>
    <col min="3" max="3" width="7.42578125" customWidth="1"/>
    <col min="4" max="4" width="25.42578125" bestFit="1" customWidth="1"/>
    <col min="5" max="7" width="15.7109375" customWidth="1"/>
    <col min="8" max="8" width="8.42578125" customWidth="1"/>
    <col min="9" max="10" width="12.7109375" customWidth="1"/>
    <col min="11" max="11" width="11.7109375" customWidth="1"/>
    <col min="12" max="12" width="4" customWidth="1"/>
    <col min="13" max="13" width="5.5703125" customWidth="1"/>
    <col min="14" max="14" width="4.85546875" bestFit="1" customWidth="1"/>
    <col min="15" max="15" width="5.7109375" bestFit="1" customWidth="1"/>
    <col min="16" max="20" width="4.85546875" bestFit="1" customWidth="1"/>
    <col min="21" max="22" width="4.7109375" customWidth="1"/>
    <col min="23" max="23" width="4" customWidth="1"/>
    <col min="24" max="24" width="13.42578125" customWidth="1"/>
    <col min="25" max="25" width="8.5703125" customWidth="1"/>
    <col min="26" max="27" width="8.7109375" customWidth="1"/>
    <col min="28" max="36" width="11.7109375" customWidth="1"/>
  </cols>
  <sheetData>
    <row r="1" spans="1:27" ht="12" customHeight="1" x14ac:dyDescent="0.25">
      <c r="A1" s="23"/>
      <c r="B1" s="23"/>
      <c r="C1" s="23"/>
      <c r="D1" s="23"/>
      <c r="E1" s="21"/>
    </row>
    <row r="2" spans="1:27" ht="30" x14ac:dyDescent="0.4">
      <c r="A2" s="23"/>
      <c r="B2" s="23"/>
      <c r="C2" s="23"/>
      <c r="D2" s="23"/>
      <c r="E2" s="21"/>
      <c r="K2" s="167" t="s">
        <v>109</v>
      </c>
      <c r="L2" s="52"/>
    </row>
    <row r="3" spans="1:27" ht="19.5" x14ac:dyDescent="0.35">
      <c r="A3" s="23"/>
      <c r="B3" s="23"/>
      <c r="C3" s="23"/>
      <c r="D3" s="23"/>
      <c r="E3" s="21"/>
      <c r="J3" s="21"/>
      <c r="K3" s="203" t="s">
        <v>396</v>
      </c>
      <c r="L3" s="53"/>
      <c r="M3" s="21"/>
      <c r="N3" s="21"/>
    </row>
    <row r="4" spans="1:27" ht="12" customHeight="1" x14ac:dyDescent="0.25">
      <c r="A4" s="23"/>
      <c r="B4" s="23"/>
      <c r="C4" s="23"/>
      <c r="D4" s="23"/>
      <c r="E4" s="21"/>
    </row>
    <row r="5" spans="1:27" ht="12" customHeight="1" x14ac:dyDescent="0.25">
      <c r="A5" s="23"/>
      <c r="B5" s="23"/>
      <c r="C5" s="23"/>
      <c r="D5" s="23"/>
      <c r="E5" s="21"/>
    </row>
    <row r="6" spans="1:27" ht="12" customHeight="1" x14ac:dyDescent="0.25">
      <c r="A6" s="23"/>
      <c r="B6" s="23"/>
      <c r="C6" s="23"/>
      <c r="D6" s="23"/>
      <c r="E6" s="21"/>
    </row>
    <row r="7" spans="1:27" ht="12" customHeight="1" x14ac:dyDescent="0.25">
      <c r="A7" s="23"/>
      <c r="B7" s="23"/>
      <c r="C7" s="23"/>
      <c r="D7" s="23"/>
      <c r="E7" s="21"/>
    </row>
    <row r="8" spans="1:27" ht="21" customHeight="1" x14ac:dyDescent="0.25">
      <c r="A8" s="54"/>
      <c r="B8" s="55"/>
      <c r="C8" s="166">
        <v>0.75</v>
      </c>
      <c r="D8" s="55" t="s">
        <v>143</v>
      </c>
      <c r="E8" s="56"/>
      <c r="F8" s="57" t="s">
        <v>110</v>
      </c>
      <c r="G8" s="58"/>
      <c r="H8" s="56"/>
      <c r="I8" s="58"/>
      <c r="J8" s="56"/>
      <c r="K8" s="58"/>
      <c r="L8" s="57" t="s">
        <v>111</v>
      </c>
      <c r="M8" s="56"/>
      <c r="N8" s="56"/>
      <c r="O8" s="58"/>
      <c r="P8" s="56"/>
      <c r="Q8" s="56"/>
      <c r="R8" s="56"/>
      <c r="S8" s="56"/>
      <c r="T8" s="56"/>
      <c r="U8" s="56"/>
      <c r="V8" s="56"/>
      <c r="W8" s="56"/>
      <c r="X8" s="57" t="s">
        <v>112</v>
      </c>
      <c r="Y8" s="58"/>
      <c r="Z8" s="58"/>
      <c r="AA8" s="56"/>
    </row>
    <row r="9" spans="1:27" ht="12" customHeight="1" x14ac:dyDescent="0.25">
      <c r="A9" s="23"/>
      <c r="B9" s="23"/>
      <c r="C9" s="23"/>
      <c r="D9" s="23"/>
      <c r="E9" s="21"/>
    </row>
    <row r="10" spans="1:27" x14ac:dyDescent="0.25">
      <c r="A10" s="23"/>
      <c r="D10" s="59"/>
      <c r="E10" s="60" t="s">
        <v>113</v>
      </c>
      <c r="F10" s="60" t="s">
        <v>114</v>
      </c>
      <c r="G10" s="244" t="s">
        <v>92</v>
      </c>
      <c r="H10" s="60" t="s">
        <v>115</v>
      </c>
      <c r="J10" s="61"/>
      <c r="K10" s="4"/>
      <c r="L10" s="4"/>
      <c r="M10" s="4"/>
    </row>
    <row r="11" spans="1:27" ht="16.5" customHeight="1" x14ac:dyDescent="0.25">
      <c r="A11" s="23"/>
      <c r="B11" s="62"/>
      <c r="C11" s="62"/>
      <c r="D11" s="62"/>
      <c r="E11" s="63" t="s">
        <v>75</v>
      </c>
      <c r="F11" s="63" t="s">
        <v>116</v>
      </c>
      <c r="G11" s="245"/>
      <c r="H11" s="63" t="s">
        <v>92</v>
      </c>
      <c r="J11" s="64"/>
      <c r="K11" s="4"/>
      <c r="L11" s="65"/>
      <c r="M11" s="65"/>
    </row>
    <row r="12" spans="1:27" x14ac:dyDescent="0.25">
      <c r="A12" s="23"/>
      <c r="B12" s="62"/>
      <c r="C12" s="62"/>
      <c r="D12" s="62"/>
      <c r="E12" s="66"/>
      <c r="F12" s="66"/>
      <c r="G12" s="67"/>
      <c r="H12" s="66"/>
      <c r="J12" s="64"/>
      <c r="K12" s="68"/>
      <c r="L12" s="65"/>
      <c r="M12" s="65"/>
    </row>
    <row r="13" spans="1:27" x14ac:dyDescent="0.25">
      <c r="A13" s="23"/>
      <c r="C13" s="69" t="s">
        <v>84</v>
      </c>
      <c r="D13" s="62"/>
      <c r="E13" s="70"/>
      <c r="F13" s="70">
        <v>380</v>
      </c>
      <c r="G13" s="71">
        <v>355</v>
      </c>
      <c r="H13" s="70"/>
      <c r="J13" s="72"/>
      <c r="K13" s="72"/>
      <c r="L13" s="65"/>
      <c r="M13" s="65"/>
      <c r="Y13" s="73" t="s">
        <v>92</v>
      </c>
      <c r="Z13" s="73" t="s">
        <v>117</v>
      </c>
    </row>
    <row r="14" spans="1:27" ht="15" customHeight="1" x14ac:dyDescent="0.25">
      <c r="A14" s="23"/>
      <c r="B14" s="74" t="s">
        <v>0</v>
      </c>
      <c r="C14" s="75"/>
      <c r="D14" s="75"/>
      <c r="E14" s="76"/>
      <c r="F14" s="76"/>
      <c r="G14" s="77"/>
      <c r="H14" s="76"/>
      <c r="J14" s="75"/>
      <c r="K14" s="75"/>
      <c r="L14" s="75"/>
      <c r="M14" s="75"/>
      <c r="O14" s="78"/>
      <c r="P14" s="78"/>
      <c r="Q14" s="78"/>
      <c r="R14" s="78"/>
      <c r="S14" s="78"/>
    </row>
    <row r="15" spans="1:27" ht="15" customHeight="1" x14ac:dyDescent="0.25">
      <c r="A15" s="23"/>
      <c r="B15" s="79"/>
      <c r="C15" s="79">
        <v>1000</v>
      </c>
      <c r="D15" s="79" t="s">
        <v>1</v>
      </c>
      <c r="E15" s="80">
        <f>'Budget Detail'!F16</f>
        <v>47246</v>
      </c>
      <c r="F15" s="80">
        <f>'Budget Detail'!G16</f>
        <v>38751</v>
      </c>
      <c r="G15" s="80">
        <f>'Budget Detail'!J16</f>
        <v>44750</v>
      </c>
      <c r="H15" s="151">
        <f>+E15/G15</f>
        <v>1.0557765363128491</v>
      </c>
      <c r="I15" s="21"/>
      <c r="J15" s="81"/>
      <c r="K15" s="82"/>
      <c r="L15" s="82"/>
      <c r="M15" s="82"/>
      <c r="O15" s="78"/>
      <c r="P15" s="78"/>
      <c r="Q15" s="78"/>
      <c r="R15" s="78"/>
      <c r="S15" s="78"/>
      <c r="U15" s="83" t="s">
        <v>118</v>
      </c>
      <c r="V15" s="84"/>
      <c r="Y15" s="189">
        <f>+G33</f>
        <v>7.9895606138457601E-2</v>
      </c>
      <c r="Z15" s="193">
        <v>0.03</v>
      </c>
    </row>
    <row r="16" spans="1:27" ht="15" customHeight="1" x14ac:dyDescent="0.25">
      <c r="A16" s="23"/>
      <c r="B16" s="85"/>
      <c r="C16" s="85">
        <v>3000</v>
      </c>
      <c r="D16" s="85" t="s">
        <v>3</v>
      </c>
      <c r="E16" s="86">
        <f>'Budget Detail'!F50</f>
        <v>2471220</v>
      </c>
      <c r="F16" s="86">
        <f>'Budget Detail'!G50</f>
        <v>3561131</v>
      </c>
      <c r="G16" s="86">
        <f>'Budget Detail'!J50</f>
        <v>3407670</v>
      </c>
      <c r="H16" s="173">
        <f>+E16/G16</f>
        <v>0.72519346063439238</v>
      </c>
      <c r="I16" s="21"/>
      <c r="J16" s="81"/>
      <c r="K16" s="81"/>
      <c r="L16" s="81"/>
      <c r="M16" s="81"/>
      <c r="Y16" s="21"/>
    </row>
    <row r="17" spans="1:33" s="1" customFormat="1" ht="15" customHeight="1" x14ac:dyDescent="0.25">
      <c r="A17" s="87"/>
      <c r="B17" s="85"/>
      <c r="C17" s="85">
        <v>4000</v>
      </c>
      <c r="D17" s="85" t="s">
        <v>2</v>
      </c>
      <c r="E17" s="80">
        <f>'Budget Detail'!F73</f>
        <v>213168</v>
      </c>
      <c r="F17" s="80">
        <f>'Budget Detail'!G73</f>
        <v>531683</v>
      </c>
      <c r="G17" s="80">
        <f>'Budget Detail'!J73</f>
        <v>768901</v>
      </c>
      <c r="H17" s="152">
        <f>+E17/G17</f>
        <v>0.27723725160976509</v>
      </c>
      <c r="I17" s="88"/>
      <c r="J17" s="81"/>
      <c r="K17" s="81"/>
      <c r="L17" s="81"/>
      <c r="M17" s="81"/>
      <c r="U17" s="83" t="s">
        <v>119</v>
      </c>
      <c r="V17" s="84"/>
      <c r="Y17" s="190">
        <f>(G31+369933)/369933</f>
        <v>1.9116921172212265</v>
      </c>
      <c r="Z17" s="192">
        <v>1.25</v>
      </c>
      <c r="AD17"/>
      <c r="AE17"/>
      <c r="AF17"/>
      <c r="AG17"/>
    </row>
    <row r="18" spans="1:33" ht="15.75" thickBot="1" x14ac:dyDescent="0.3">
      <c r="A18" s="23"/>
      <c r="B18" s="85"/>
      <c r="C18" s="89" t="s">
        <v>120</v>
      </c>
      <c r="D18" s="90"/>
      <c r="E18" s="91">
        <f>SUM(E15:E17)</f>
        <v>2731634</v>
      </c>
      <c r="F18" s="91">
        <f>SUM(F15:F17)</f>
        <v>4131565</v>
      </c>
      <c r="G18" s="92">
        <f>SUM(G15:G17)</f>
        <v>4221321</v>
      </c>
      <c r="H18" s="153">
        <f>+E18/G18</f>
        <v>0.6471040700292634</v>
      </c>
      <c r="I18" s="21"/>
      <c r="J18" s="93"/>
      <c r="K18" s="93"/>
      <c r="L18" s="93"/>
      <c r="M18" s="93"/>
      <c r="Y18" s="21"/>
    </row>
    <row r="19" spans="1:33" ht="15.75" thickTop="1" x14ac:dyDescent="0.25">
      <c r="A19" s="21"/>
      <c r="B19" s="85"/>
      <c r="C19" s="85"/>
      <c r="D19" s="85"/>
      <c r="E19" s="94"/>
      <c r="F19" s="94"/>
      <c r="G19" s="95"/>
      <c r="H19" s="151"/>
      <c r="I19" s="21"/>
      <c r="J19" s="81"/>
      <c r="K19" s="81"/>
      <c r="L19" s="81"/>
      <c r="M19" s="81"/>
      <c r="U19" s="83" t="s">
        <v>121</v>
      </c>
      <c r="V19" s="84"/>
      <c r="Y19" s="191">
        <f>+E39</f>
        <v>152.93072756932443</v>
      </c>
      <c r="Z19" s="162">
        <v>90</v>
      </c>
    </row>
    <row r="20" spans="1:33" x14ac:dyDescent="0.25">
      <c r="B20" s="74" t="s">
        <v>78</v>
      </c>
      <c r="C20" s="96"/>
      <c r="D20" s="75"/>
      <c r="E20" s="97"/>
      <c r="F20" s="97"/>
      <c r="G20" s="98"/>
      <c r="H20" s="151"/>
      <c r="I20" s="21"/>
      <c r="J20" s="99"/>
      <c r="K20" s="99"/>
      <c r="L20" s="99"/>
      <c r="M20" s="99"/>
      <c r="Y20" s="100"/>
    </row>
    <row r="21" spans="1:33" x14ac:dyDescent="0.25">
      <c r="B21" s="85"/>
      <c r="C21" s="85">
        <v>100</v>
      </c>
      <c r="D21" s="85" t="s">
        <v>4</v>
      </c>
      <c r="E21" s="80">
        <f>'Budget Detail'!F90</f>
        <v>1476790</v>
      </c>
      <c r="F21" s="80">
        <f>'Budget Detail'!G90</f>
        <v>1971784</v>
      </c>
      <c r="G21" s="80">
        <f>'Budget Detail'!J90</f>
        <v>1943599</v>
      </c>
      <c r="H21" s="151">
        <f t="shared" ref="H21:H29" si="0">+E21/G21</f>
        <v>0.75982237076680936</v>
      </c>
      <c r="I21" s="21"/>
      <c r="J21" s="81"/>
      <c r="K21" s="93"/>
      <c r="L21" s="93"/>
      <c r="M21" s="93"/>
      <c r="U21" s="83" t="s">
        <v>122</v>
      </c>
      <c r="V21" s="84"/>
      <c r="Y21" s="189">
        <f>364104/G18</f>
        <v>8.6253568491948374E-2</v>
      </c>
      <c r="Z21" s="101" t="s">
        <v>171</v>
      </c>
      <c r="AB21" s="102"/>
    </row>
    <row r="22" spans="1:33" x14ac:dyDescent="0.25">
      <c r="B22" s="85"/>
      <c r="C22" s="85">
        <v>200</v>
      </c>
      <c r="D22" s="85" t="s">
        <v>5</v>
      </c>
      <c r="E22" s="80">
        <f>'Budget Detail'!F99</f>
        <v>385508</v>
      </c>
      <c r="F22" s="80">
        <f>'Budget Detail'!G99</f>
        <v>549541</v>
      </c>
      <c r="G22" s="80">
        <f>'Budget Detail'!J99</f>
        <v>563541</v>
      </c>
      <c r="H22" s="151">
        <f t="shared" si="0"/>
        <v>0.68408154863621284</v>
      </c>
      <c r="I22" s="21"/>
      <c r="J22" s="81"/>
      <c r="K22" s="93"/>
      <c r="L22" s="93"/>
      <c r="M22" s="93"/>
    </row>
    <row r="23" spans="1:33" x14ac:dyDescent="0.25">
      <c r="B23" s="85"/>
      <c r="C23" s="85">
        <v>300</v>
      </c>
      <c r="D23" s="85" t="s">
        <v>6</v>
      </c>
      <c r="E23" s="86">
        <f>'Budget Detail'!F110</f>
        <v>212298</v>
      </c>
      <c r="F23" s="86">
        <f>'Budget Detail'!G110</f>
        <v>276611</v>
      </c>
      <c r="G23" s="86">
        <f>'Budget Detail'!J110</f>
        <v>318595</v>
      </c>
      <c r="H23" s="173">
        <f>+E23/G23</f>
        <v>0.66635697358715607</v>
      </c>
      <c r="I23" s="21"/>
      <c r="J23" s="81"/>
      <c r="K23" s="93"/>
      <c r="L23" s="93"/>
      <c r="M23" s="93"/>
    </row>
    <row r="24" spans="1:33" x14ac:dyDescent="0.25">
      <c r="B24" s="85"/>
      <c r="C24" s="85">
        <v>400</v>
      </c>
      <c r="D24" s="85" t="s">
        <v>7</v>
      </c>
      <c r="E24" s="86">
        <f>'Budget Detail'!F117</f>
        <v>55450</v>
      </c>
      <c r="F24" s="86">
        <f>'Budget Detail'!G117</f>
        <v>63200</v>
      </c>
      <c r="G24" s="86">
        <f>'Budget Detail'!J117</f>
        <v>77800</v>
      </c>
      <c r="H24" s="173">
        <f t="shared" si="0"/>
        <v>0.71272493573264784</v>
      </c>
      <c r="I24" s="21"/>
      <c r="J24" s="81"/>
      <c r="K24" s="93"/>
      <c r="L24" s="93"/>
      <c r="M24" s="93"/>
    </row>
    <row r="25" spans="1:33" x14ac:dyDescent="0.25">
      <c r="B25" s="85"/>
      <c r="C25" s="85">
        <v>500</v>
      </c>
      <c r="D25" s="85" t="s">
        <v>66</v>
      </c>
      <c r="E25" s="80">
        <f>'Budget Detail'!F127</f>
        <v>52945</v>
      </c>
      <c r="F25" s="80">
        <f>'Budget Detail'!G127</f>
        <v>74500</v>
      </c>
      <c r="G25" s="80">
        <f>'Budget Detail'!J127</f>
        <v>63397</v>
      </c>
      <c r="H25" s="151">
        <f t="shared" si="0"/>
        <v>0.83513415461299434</v>
      </c>
      <c r="I25" s="21"/>
      <c r="J25" s="81"/>
      <c r="K25" s="93"/>
      <c r="L25" s="93"/>
      <c r="M25" s="93"/>
    </row>
    <row r="26" spans="1:33" x14ac:dyDescent="0.25">
      <c r="B26" s="85"/>
      <c r="C26" s="85">
        <v>600</v>
      </c>
      <c r="D26" s="85" t="s">
        <v>8</v>
      </c>
      <c r="E26" s="80">
        <f>'Budget Detail'!F144</f>
        <v>251397</v>
      </c>
      <c r="F26" s="80">
        <f>'Budget Detail'!G144</f>
        <v>263000</v>
      </c>
      <c r="G26" s="80">
        <f>'Budget Detail'!J144</f>
        <v>321542</v>
      </c>
      <c r="H26" s="151">
        <f t="shared" si="0"/>
        <v>0.78184809449465387</v>
      </c>
      <c r="I26" s="21"/>
      <c r="J26" s="81"/>
      <c r="K26" s="93"/>
      <c r="L26" s="93"/>
      <c r="M26" s="93"/>
    </row>
    <row r="27" spans="1:33" x14ac:dyDescent="0.25">
      <c r="B27" s="85"/>
      <c r="C27" s="85">
        <v>700</v>
      </c>
      <c r="D27" s="85" t="s">
        <v>9</v>
      </c>
      <c r="E27" s="86">
        <f>'Budget Detail'!F150</f>
        <v>200722</v>
      </c>
      <c r="F27" s="86">
        <f>'Budget Detail'!G150</f>
        <v>68000</v>
      </c>
      <c r="G27" s="86">
        <f>'Budget Detail'!J150</f>
        <v>219648</v>
      </c>
      <c r="H27" s="173">
        <f t="shared" si="0"/>
        <v>0.91383486305361306</v>
      </c>
      <c r="I27" s="21"/>
      <c r="J27" s="81"/>
      <c r="K27" s="93"/>
      <c r="L27" s="93"/>
      <c r="M27" s="93"/>
    </row>
    <row r="28" spans="1:33" x14ac:dyDescent="0.25">
      <c r="B28" s="85"/>
      <c r="C28" s="85">
        <v>800</v>
      </c>
      <c r="D28" s="85" t="s">
        <v>72</v>
      </c>
      <c r="E28" s="86">
        <f>'Budget Detail'!F158</f>
        <v>280837</v>
      </c>
      <c r="F28" s="86">
        <f>'Budget Detail'!G158</f>
        <v>375484</v>
      </c>
      <c r="G28" s="86">
        <f>'Budget Detail'!J158</f>
        <v>375934</v>
      </c>
      <c r="H28" s="173">
        <f t="shared" si="0"/>
        <v>0.74703804391196327</v>
      </c>
      <c r="I28" s="21"/>
      <c r="J28" s="81"/>
      <c r="K28" s="93"/>
      <c r="L28" s="93"/>
      <c r="M28" s="93"/>
    </row>
    <row r="29" spans="1:33" ht="15.75" thickBot="1" x14ac:dyDescent="0.3">
      <c r="B29" s="90"/>
      <c r="C29" s="89" t="s">
        <v>123</v>
      </c>
      <c r="D29" s="90"/>
      <c r="E29" s="91">
        <f>SUM(E21:E28)</f>
        <v>2915947</v>
      </c>
      <c r="F29" s="91">
        <f>SUM(F21:F28)</f>
        <v>3642120</v>
      </c>
      <c r="G29" s="92">
        <f>SUM(G21:G28)</f>
        <v>3884056</v>
      </c>
      <c r="H29" s="153">
        <f t="shared" si="0"/>
        <v>0.75074792948402391</v>
      </c>
      <c r="I29" s="21"/>
      <c r="J29" s="93"/>
      <c r="K29" s="93"/>
      <c r="L29" s="93"/>
      <c r="M29" s="93"/>
    </row>
    <row r="30" spans="1:33" ht="15.75" thickTop="1" x14ac:dyDescent="0.25">
      <c r="B30" s="85"/>
      <c r="C30" s="85"/>
      <c r="D30" s="85"/>
      <c r="E30" s="94"/>
      <c r="F30" s="94"/>
      <c r="G30" s="95"/>
      <c r="H30" s="151"/>
      <c r="J30" s="81"/>
      <c r="K30" s="81"/>
      <c r="L30" s="81"/>
      <c r="M30" s="81"/>
      <c r="N30" s="103"/>
    </row>
    <row r="31" spans="1:33" ht="15.75" thickBot="1" x14ac:dyDescent="0.3">
      <c r="B31" s="74" t="s">
        <v>124</v>
      </c>
      <c r="C31" s="104"/>
      <c r="D31" s="104"/>
      <c r="E31" s="105">
        <f>+E18-E29</f>
        <v>-184313</v>
      </c>
      <c r="F31" s="105">
        <f>+F18-F29</f>
        <v>489445</v>
      </c>
      <c r="G31" s="106">
        <f>+G18-G29</f>
        <v>337265</v>
      </c>
      <c r="H31" s="154"/>
      <c r="J31" s="107"/>
      <c r="K31" s="107"/>
      <c r="L31" s="108"/>
      <c r="M31" s="81"/>
      <c r="N31" s="103"/>
    </row>
    <row r="32" spans="1:33" ht="15.75" thickTop="1" x14ac:dyDescent="0.25">
      <c r="B32" s="104"/>
      <c r="C32" s="104"/>
      <c r="D32" s="104"/>
      <c r="E32" s="108"/>
      <c r="F32" s="108"/>
      <c r="G32" s="108"/>
      <c r="H32" s="108"/>
      <c r="J32" s="108"/>
      <c r="K32" s="108"/>
      <c r="L32" s="108"/>
      <c r="M32" s="81"/>
      <c r="N32" s="103"/>
    </row>
    <row r="33" spans="1:28" x14ac:dyDescent="0.25">
      <c r="B33" s="104"/>
      <c r="C33" s="85" t="s">
        <v>118</v>
      </c>
      <c r="D33" s="85"/>
      <c r="E33" s="109">
        <f>+E31/E18</f>
        <v>-6.747353415574707E-2</v>
      </c>
      <c r="F33" s="109">
        <f>+F31/F18</f>
        <v>0.11846479481746021</v>
      </c>
      <c r="G33" s="140">
        <f>+G31/G18</f>
        <v>7.9895606138457601E-2</v>
      </c>
      <c r="H33" s="110"/>
      <c r="J33" s="110"/>
      <c r="K33" s="110"/>
      <c r="L33" s="108"/>
      <c r="M33" s="81"/>
      <c r="N33" s="103"/>
    </row>
    <row r="34" spans="1:28" x14ac:dyDescent="0.25">
      <c r="B34" s="85"/>
      <c r="C34" s="85"/>
      <c r="D34" s="85"/>
      <c r="E34" s="81"/>
      <c r="F34" s="81"/>
      <c r="G34" s="81"/>
      <c r="H34" s="85"/>
      <c r="I34" s="85"/>
      <c r="J34" s="85"/>
      <c r="K34" s="85"/>
      <c r="L34" s="85"/>
      <c r="M34" s="81"/>
      <c r="N34" s="103"/>
    </row>
    <row r="35" spans="1:28" x14ac:dyDescent="0.25">
      <c r="B35" s="85"/>
      <c r="C35" s="85"/>
      <c r="D35" s="85"/>
      <c r="E35" s="81"/>
      <c r="F35" s="81"/>
      <c r="G35" s="81"/>
      <c r="H35" s="85"/>
      <c r="I35" s="85"/>
      <c r="J35" s="85"/>
      <c r="K35" s="85"/>
      <c r="L35" s="85"/>
      <c r="M35" s="81"/>
      <c r="N35" s="103"/>
    </row>
    <row r="36" spans="1:28" ht="21" customHeight="1" x14ac:dyDescent="0.25">
      <c r="A36" s="54"/>
      <c r="B36" s="246" t="s">
        <v>125</v>
      </c>
      <c r="C36" s="246"/>
      <c r="D36" s="246"/>
      <c r="E36" s="246"/>
      <c r="F36" s="56"/>
      <c r="G36" s="246" t="s">
        <v>126</v>
      </c>
      <c r="H36" s="246"/>
      <c r="I36" s="246"/>
      <c r="J36" s="246"/>
      <c r="K36" s="56"/>
      <c r="L36" s="56"/>
      <c r="M36" s="246" t="s">
        <v>153</v>
      </c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111"/>
    </row>
    <row r="37" spans="1:28" ht="15.75" thickBot="1" x14ac:dyDescent="0.3">
      <c r="B37" s="85"/>
      <c r="C37" s="85"/>
      <c r="D37" s="85"/>
      <c r="E37" s="81"/>
      <c r="F37" s="81"/>
      <c r="G37" s="81"/>
      <c r="H37" s="85"/>
      <c r="I37" s="85"/>
      <c r="J37" s="85"/>
      <c r="K37" s="85"/>
      <c r="L37" s="85"/>
      <c r="M37" s="81"/>
      <c r="N37" s="103"/>
    </row>
    <row r="38" spans="1:28" ht="15.75" thickBot="1" x14ac:dyDescent="0.3">
      <c r="B38" s="112" t="s">
        <v>127</v>
      </c>
      <c r="C38" s="113"/>
      <c r="D38" s="114"/>
      <c r="E38" s="49">
        <v>1627374</v>
      </c>
      <c r="F38" s="81"/>
      <c r="K38" s="85"/>
      <c r="L38" s="220" t="s">
        <v>214</v>
      </c>
      <c r="M38" s="85"/>
      <c r="N38" s="115" t="s">
        <v>101</v>
      </c>
      <c r="O38" s="116" t="s">
        <v>102</v>
      </c>
      <c r="P38" s="116" t="s">
        <v>103</v>
      </c>
      <c r="Q38" s="116" t="s">
        <v>104</v>
      </c>
      <c r="R38" s="116" t="s">
        <v>99</v>
      </c>
      <c r="S38" s="116" t="s">
        <v>105</v>
      </c>
      <c r="T38" s="116" t="s">
        <v>106</v>
      </c>
      <c r="U38" s="116" t="s">
        <v>100</v>
      </c>
      <c r="V38" s="117" t="s">
        <v>106</v>
      </c>
    </row>
    <row r="39" spans="1:28" x14ac:dyDescent="0.25">
      <c r="B39" s="85"/>
      <c r="C39" s="85" t="s">
        <v>121</v>
      </c>
      <c r="D39" s="85"/>
      <c r="E39" s="118">
        <f>+E38/(G29/365)</f>
        <v>152.93072756932443</v>
      </c>
      <c r="F39" s="81"/>
      <c r="I39" s="21"/>
      <c r="K39" s="85"/>
      <c r="L39" s="119">
        <v>51</v>
      </c>
      <c r="M39" s="120" t="s">
        <v>85</v>
      </c>
      <c r="N39" s="121">
        <v>46</v>
      </c>
      <c r="O39" s="122">
        <v>46</v>
      </c>
      <c r="P39" s="123">
        <v>50</v>
      </c>
      <c r="Q39" s="124">
        <v>51</v>
      </c>
      <c r="R39" s="124">
        <v>51</v>
      </c>
      <c r="S39" s="124">
        <v>52</v>
      </c>
      <c r="T39" s="124">
        <v>52</v>
      </c>
      <c r="U39" s="124"/>
      <c r="V39" s="125"/>
    </row>
    <row r="40" spans="1:28" x14ac:dyDescent="0.25">
      <c r="F40" s="81"/>
      <c r="I40" s="126" t="s">
        <v>128</v>
      </c>
      <c r="J40" s="127" t="s">
        <v>92</v>
      </c>
      <c r="K40" s="85"/>
      <c r="L40" s="119">
        <v>54</v>
      </c>
      <c r="M40" s="120">
        <v>1</v>
      </c>
      <c r="N40" s="121">
        <v>49</v>
      </c>
      <c r="O40" s="122">
        <v>46</v>
      </c>
      <c r="P40" s="128">
        <v>47</v>
      </c>
      <c r="Q40" s="128">
        <v>45</v>
      </c>
      <c r="R40" s="128">
        <v>43</v>
      </c>
      <c r="S40" s="128">
        <v>42</v>
      </c>
      <c r="T40" s="128">
        <v>41</v>
      </c>
      <c r="U40" s="128"/>
      <c r="V40" s="129"/>
    </row>
    <row r="41" spans="1:28" x14ac:dyDescent="0.25">
      <c r="B41" s="85"/>
      <c r="C41" s="85"/>
      <c r="D41" s="85"/>
      <c r="E41" s="81"/>
      <c r="F41" s="81"/>
      <c r="G41" s="247" t="s">
        <v>129</v>
      </c>
      <c r="H41" s="248"/>
      <c r="I41" s="142">
        <f>711671+'Budget Detail'!E161</f>
        <v>841768.0839999998</v>
      </c>
      <c r="J41" s="143">
        <f>I41</f>
        <v>841768.0839999998</v>
      </c>
      <c r="K41" s="85"/>
      <c r="L41" s="119">
        <v>41</v>
      </c>
      <c r="M41" s="120">
        <v>2</v>
      </c>
      <c r="N41" s="121">
        <v>46</v>
      </c>
      <c r="O41" s="122">
        <v>45</v>
      </c>
      <c r="P41" s="128">
        <v>45</v>
      </c>
      <c r="Q41" s="128">
        <v>45</v>
      </c>
      <c r="R41" s="128">
        <v>46</v>
      </c>
      <c r="S41" s="128">
        <v>46</v>
      </c>
      <c r="T41" s="128">
        <v>46</v>
      </c>
      <c r="U41" s="128"/>
      <c r="V41" s="129"/>
    </row>
    <row r="42" spans="1:28" x14ac:dyDescent="0.25">
      <c r="F42" s="81"/>
      <c r="G42" s="74"/>
      <c r="H42" s="75"/>
      <c r="I42" s="144"/>
      <c r="J42" s="144"/>
      <c r="K42" s="85"/>
      <c r="L42" s="119">
        <v>46</v>
      </c>
      <c r="M42" s="120">
        <v>3</v>
      </c>
      <c r="N42" s="121">
        <v>41</v>
      </c>
      <c r="O42" s="122">
        <v>41</v>
      </c>
      <c r="P42" s="128">
        <v>42</v>
      </c>
      <c r="Q42" s="128">
        <v>42</v>
      </c>
      <c r="R42" s="128">
        <v>43</v>
      </c>
      <c r="S42" s="128">
        <v>43</v>
      </c>
      <c r="T42" s="128">
        <v>42</v>
      </c>
      <c r="U42" s="128"/>
      <c r="V42" s="129"/>
    </row>
    <row r="43" spans="1:28" x14ac:dyDescent="0.25">
      <c r="F43" s="81"/>
      <c r="G43" s="85" t="s">
        <v>130</v>
      </c>
      <c r="H43" s="85"/>
      <c r="I43" s="145">
        <f>E31</f>
        <v>-184313</v>
      </c>
      <c r="J43" s="145">
        <f>G31</f>
        <v>337265</v>
      </c>
      <c r="K43" s="85"/>
      <c r="L43" s="119">
        <v>49</v>
      </c>
      <c r="M43" s="120">
        <v>4</v>
      </c>
      <c r="N43" s="130">
        <v>33</v>
      </c>
      <c r="O43" s="122">
        <v>31</v>
      </c>
      <c r="P43" s="128">
        <v>32</v>
      </c>
      <c r="Q43" s="128">
        <v>29</v>
      </c>
      <c r="R43" s="128">
        <v>29</v>
      </c>
      <c r="S43" s="128">
        <v>29</v>
      </c>
      <c r="T43" s="128">
        <v>30</v>
      </c>
      <c r="U43" s="128"/>
      <c r="V43" s="129"/>
    </row>
    <row r="44" spans="1:28" x14ac:dyDescent="0.25">
      <c r="B44" s="131"/>
      <c r="C44" s="10"/>
      <c r="D44" s="85"/>
      <c r="E44" s="132"/>
      <c r="F44" s="81"/>
      <c r="G44" s="85"/>
      <c r="H44" s="85"/>
      <c r="I44" s="145"/>
      <c r="J44" s="145"/>
      <c r="K44" s="85"/>
      <c r="L44" s="119">
        <v>45</v>
      </c>
      <c r="M44" s="120">
        <v>5</v>
      </c>
      <c r="N44" s="130">
        <v>38</v>
      </c>
      <c r="O44" s="122">
        <v>35</v>
      </c>
      <c r="P44" s="128">
        <v>35</v>
      </c>
      <c r="Q44" s="128">
        <v>35</v>
      </c>
      <c r="R44" s="128">
        <v>35</v>
      </c>
      <c r="S44" s="128">
        <v>35</v>
      </c>
      <c r="T44" s="128">
        <v>36</v>
      </c>
      <c r="U44" s="128"/>
      <c r="V44" s="129"/>
      <c r="X44" s="85"/>
      <c r="Y44" s="85"/>
      <c r="Z44" s="81"/>
      <c r="AA44" s="10"/>
    </row>
    <row r="45" spans="1:28" x14ac:dyDescent="0.25">
      <c r="B45" s="10"/>
      <c r="C45" s="10"/>
      <c r="D45" s="10"/>
      <c r="E45" s="10"/>
      <c r="G45" s="85"/>
      <c r="H45" s="85"/>
      <c r="I45" s="81"/>
      <c r="J45" s="146"/>
      <c r="K45" s="21"/>
      <c r="L45" s="119">
        <v>42</v>
      </c>
      <c r="M45" s="120">
        <v>6</v>
      </c>
      <c r="N45" s="130">
        <v>39</v>
      </c>
      <c r="O45" s="122">
        <v>38</v>
      </c>
      <c r="P45" s="128">
        <v>36</v>
      </c>
      <c r="Q45" s="128">
        <v>36</v>
      </c>
      <c r="R45" s="128">
        <v>34</v>
      </c>
      <c r="S45" s="128">
        <v>34</v>
      </c>
      <c r="T45" s="128">
        <v>35</v>
      </c>
      <c r="U45" s="128"/>
      <c r="V45" s="129"/>
      <c r="W45" s="10"/>
      <c r="X45" s="85"/>
      <c r="Y45" s="85"/>
      <c r="Z45" s="81"/>
      <c r="AA45" s="10"/>
      <c r="AB45" s="103"/>
    </row>
    <row r="46" spans="1:28" x14ac:dyDescent="0.25">
      <c r="G46" s="147"/>
      <c r="H46" s="85"/>
      <c r="I46" s="81"/>
      <c r="J46" s="146"/>
      <c r="K46" s="21"/>
      <c r="L46" s="119">
        <v>27</v>
      </c>
      <c r="M46" s="120">
        <v>7</v>
      </c>
      <c r="N46" s="130">
        <v>27</v>
      </c>
      <c r="O46" s="122">
        <v>27</v>
      </c>
      <c r="P46" s="128">
        <v>28</v>
      </c>
      <c r="Q46" s="128">
        <v>28</v>
      </c>
      <c r="R46" s="128">
        <v>29</v>
      </c>
      <c r="S46" s="128">
        <v>30</v>
      </c>
      <c r="T46" s="128">
        <v>31</v>
      </c>
      <c r="U46" s="128"/>
      <c r="V46" s="129"/>
      <c r="W46" s="10"/>
      <c r="X46" s="85"/>
      <c r="Y46" s="85"/>
      <c r="Z46" s="81"/>
      <c r="AA46" s="10"/>
      <c r="AB46" s="103"/>
    </row>
    <row r="47" spans="1:28" ht="15.75" thickBot="1" x14ac:dyDescent="0.3">
      <c r="G47" s="147"/>
      <c r="H47" s="85"/>
      <c r="I47" s="81"/>
      <c r="J47" s="146"/>
      <c r="K47" s="21"/>
      <c r="L47" s="119">
        <v>23</v>
      </c>
      <c r="M47" s="120">
        <v>8</v>
      </c>
      <c r="N47" s="169">
        <v>36</v>
      </c>
      <c r="O47" s="172">
        <v>36</v>
      </c>
      <c r="P47" s="170">
        <v>37</v>
      </c>
      <c r="Q47" s="170">
        <v>35</v>
      </c>
      <c r="R47" s="170">
        <v>33</v>
      </c>
      <c r="S47" s="170">
        <v>33</v>
      </c>
      <c r="T47" s="170">
        <v>32</v>
      </c>
      <c r="U47" s="170"/>
      <c r="V47" s="171"/>
      <c r="W47" s="10"/>
      <c r="X47" s="85"/>
      <c r="Y47" s="85"/>
      <c r="Z47" s="81"/>
      <c r="AA47" s="10"/>
      <c r="AB47" s="103"/>
    </row>
    <row r="48" spans="1:28" ht="15.75" thickBot="1" x14ac:dyDescent="0.3">
      <c r="G48" s="112" t="s">
        <v>131</v>
      </c>
      <c r="H48" s="114"/>
      <c r="I48" s="148">
        <f>SUM(I41:I47)</f>
        <v>657455.0839999998</v>
      </c>
      <c r="J48" s="148">
        <f>SUM(J41:J47)</f>
        <v>1179033.0839999998</v>
      </c>
      <c r="K48" s="21"/>
      <c r="L48" s="119">
        <f>SUM(L39:L47)</f>
        <v>378</v>
      </c>
      <c r="M48" s="120" t="s">
        <v>132</v>
      </c>
      <c r="N48" s="133">
        <f>SUM(N39:N47)</f>
        <v>355</v>
      </c>
      <c r="O48" s="133">
        <f t="shared" ref="O48:V48" si="1">SUM(O39:O47)</f>
        <v>345</v>
      </c>
      <c r="P48" s="133">
        <f t="shared" si="1"/>
        <v>352</v>
      </c>
      <c r="Q48" s="133">
        <f t="shared" si="1"/>
        <v>346</v>
      </c>
      <c r="R48" s="133">
        <f t="shared" si="1"/>
        <v>343</v>
      </c>
      <c r="S48" s="133">
        <f t="shared" si="1"/>
        <v>344</v>
      </c>
      <c r="T48" s="133">
        <f t="shared" si="1"/>
        <v>345</v>
      </c>
      <c r="U48" s="133">
        <f t="shared" si="1"/>
        <v>0</v>
      </c>
      <c r="V48" s="133">
        <f t="shared" si="1"/>
        <v>0</v>
      </c>
      <c r="W48" s="10"/>
      <c r="X48" s="85"/>
      <c r="Y48" s="85"/>
      <c r="Z48" s="81"/>
      <c r="AA48" s="10"/>
      <c r="AB48" s="103"/>
    </row>
    <row r="49" spans="2:40" x14ac:dyDescent="0.25">
      <c r="G49" s="134"/>
      <c r="I49" s="21"/>
      <c r="L49" s="119"/>
      <c r="N49" s="165" t="s">
        <v>154</v>
      </c>
      <c r="O49" s="10"/>
      <c r="P49" s="10"/>
      <c r="Q49" s="10"/>
      <c r="R49" s="10"/>
      <c r="S49" s="10"/>
      <c r="T49" s="10"/>
      <c r="U49" s="10"/>
      <c r="V49" s="10"/>
      <c r="W49" s="10"/>
      <c r="X49" s="85"/>
      <c r="Y49" s="85"/>
      <c r="Z49" s="81"/>
      <c r="AA49" s="10"/>
      <c r="AB49" s="103"/>
    </row>
    <row r="50" spans="2:40" x14ac:dyDescent="0.25">
      <c r="B50" s="131"/>
      <c r="C50" s="10"/>
      <c r="D50" s="85"/>
      <c r="E50" s="132"/>
      <c r="N50" s="10"/>
      <c r="O50" s="10"/>
      <c r="P50" s="10"/>
      <c r="Q50" s="10"/>
      <c r="R50" s="10"/>
      <c r="S50" s="10"/>
      <c r="T50" s="10"/>
      <c r="U50" s="10"/>
      <c r="V50" s="10"/>
      <c r="W50" s="108"/>
      <c r="X50" s="108"/>
      <c r="Y50" s="108"/>
      <c r="Z50" s="81"/>
      <c r="AA50" s="10"/>
      <c r="AB50" s="103"/>
    </row>
    <row r="51" spans="2:40" x14ac:dyDescent="0.25">
      <c r="M51" t="s">
        <v>395</v>
      </c>
      <c r="N51" t="s">
        <v>394</v>
      </c>
      <c r="W51" s="135"/>
      <c r="X51" s="23"/>
      <c r="Y51" s="23"/>
      <c r="Z51" s="81"/>
      <c r="AA51" s="10"/>
      <c r="AB51" s="103"/>
    </row>
    <row r="52" spans="2:40" x14ac:dyDescent="0.25">
      <c r="W52" s="135"/>
      <c r="X52" s="23"/>
      <c r="Y52" s="23"/>
      <c r="Z52" s="81"/>
      <c r="AA52" s="10"/>
      <c r="AB52" s="103"/>
    </row>
    <row r="53" spans="2:40" x14ac:dyDescent="0.25">
      <c r="W53" s="136"/>
      <c r="X53" s="136"/>
      <c r="Y53" s="136"/>
      <c r="Z53" s="108"/>
      <c r="AA53" s="23"/>
      <c r="AD53" s="137"/>
      <c r="AE53" s="137"/>
      <c r="AF53" s="137"/>
      <c r="AG53" s="137"/>
      <c r="AH53" s="137"/>
      <c r="AI53" s="137"/>
      <c r="AJ53" s="137"/>
      <c r="AN53" s="73"/>
    </row>
    <row r="54" spans="2:40" x14ac:dyDescent="0.25">
      <c r="R54" s="134"/>
      <c r="S54" s="134"/>
      <c r="T54" s="134"/>
      <c r="U54" s="134"/>
      <c r="V54" s="134"/>
      <c r="W54" s="10"/>
      <c r="X54" s="10"/>
      <c r="Y54" s="10"/>
      <c r="Z54" s="85"/>
      <c r="AA54" s="10"/>
    </row>
    <row r="55" spans="2:40" x14ac:dyDescent="0.25">
      <c r="E55" s="134"/>
      <c r="R55" s="134"/>
      <c r="S55" s="134"/>
      <c r="T55" s="134"/>
      <c r="U55" s="134"/>
      <c r="V55" s="134"/>
      <c r="W55" s="43"/>
      <c r="X55" s="10"/>
      <c r="Y55" s="138" t="s">
        <v>133</v>
      </c>
      <c r="Z55" s="10"/>
      <c r="AA55" s="10"/>
    </row>
    <row r="56" spans="2:40" x14ac:dyDescent="0.25">
      <c r="E56" s="134"/>
      <c r="G56" s="134"/>
      <c r="R56" s="134"/>
      <c r="S56" s="134"/>
      <c r="T56" s="134"/>
      <c r="U56" s="134"/>
      <c r="V56" s="134"/>
      <c r="W56" s="43"/>
      <c r="X56" s="10"/>
      <c r="Y56" s="10"/>
      <c r="Z56" s="10"/>
      <c r="AA56" s="10"/>
    </row>
    <row r="57" spans="2:40" x14ac:dyDescent="0.25">
      <c r="E57" s="134"/>
      <c r="F57" s="134"/>
      <c r="G57" s="134"/>
    </row>
    <row r="58" spans="2:40" x14ac:dyDescent="0.25">
      <c r="E58" s="134"/>
      <c r="F58" s="134"/>
      <c r="G58" s="134"/>
    </row>
    <row r="59" spans="2:40" x14ac:dyDescent="0.25">
      <c r="E59" s="134"/>
      <c r="F59" s="134"/>
      <c r="G59" s="134"/>
    </row>
    <row r="60" spans="2:40" x14ac:dyDescent="0.25">
      <c r="E60" s="134"/>
      <c r="F60" s="134"/>
      <c r="G60" s="139"/>
    </row>
    <row r="61" spans="2:40" x14ac:dyDescent="0.25">
      <c r="E61" s="103"/>
    </row>
    <row r="71" spans="5:7" x14ac:dyDescent="0.25">
      <c r="G71" s="89"/>
    </row>
    <row r="72" spans="5:7" x14ac:dyDescent="0.25">
      <c r="F72" s="74"/>
      <c r="G72" s="10"/>
    </row>
    <row r="73" spans="5:7" x14ac:dyDescent="0.25">
      <c r="F73" s="131"/>
      <c r="G73" s="134"/>
    </row>
    <row r="74" spans="5:7" x14ac:dyDescent="0.25">
      <c r="E74" s="134"/>
      <c r="F74" s="134"/>
      <c r="G74" s="134"/>
    </row>
    <row r="75" spans="5:7" x14ac:dyDescent="0.25">
      <c r="E75" s="134"/>
      <c r="F75" s="134"/>
      <c r="G75" s="134"/>
    </row>
    <row r="76" spans="5:7" x14ac:dyDescent="0.25">
      <c r="E76" s="134"/>
      <c r="F76" s="134"/>
      <c r="G76" s="134"/>
    </row>
    <row r="77" spans="5:7" x14ac:dyDescent="0.25">
      <c r="E77" s="134"/>
      <c r="F77" s="134"/>
      <c r="G77" s="134"/>
    </row>
    <row r="78" spans="5:7" x14ac:dyDescent="0.25">
      <c r="E78" s="134"/>
      <c r="F78" s="134"/>
      <c r="G78" s="134"/>
    </row>
    <row r="79" spans="5:7" x14ac:dyDescent="0.25">
      <c r="E79" s="134"/>
      <c r="F79" s="134"/>
      <c r="G79" s="134"/>
    </row>
    <row r="80" spans="5:7" x14ac:dyDescent="0.25">
      <c r="E80" s="134"/>
      <c r="F80" s="134"/>
      <c r="G80" s="134"/>
    </row>
    <row r="81" spans="5:7" x14ac:dyDescent="0.25">
      <c r="E81" s="134"/>
      <c r="F81" s="134"/>
      <c r="G81" s="134"/>
    </row>
    <row r="82" spans="5:7" x14ac:dyDescent="0.25">
      <c r="E82" s="134"/>
      <c r="F82" s="134"/>
      <c r="G82" s="134"/>
    </row>
    <row r="83" spans="5:7" x14ac:dyDescent="0.25">
      <c r="E83" s="134"/>
      <c r="F83" s="134"/>
      <c r="G83" s="134"/>
    </row>
    <row r="84" spans="5:7" x14ac:dyDescent="0.25">
      <c r="E84" s="134"/>
      <c r="F84" s="134"/>
      <c r="G84" s="134"/>
    </row>
    <row r="85" spans="5:7" x14ac:dyDescent="0.25">
      <c r="E85" s="134"/>
      <c r="F85" s="134"/>
      <c r="G85" s="134"/>
    </row>
    <row r="86" spans="5:7" x14ac:dyDescent="0.25">
      <c r="E86" s="134"/>
      <c r="F86" s="134"/>
      <c r="G86" s="134"/>
    </row>
    <row r="87" spans="5:7" x14ac:dyDescent="0.25">
      <c r="E87" s="134"/>
      <c r="F87" s="134"/>
      <c r="G87" s="134"/>
    </row>
    <row r="88" spans="5:7" x14ac:dyDescent="0.25">
      <c r="E88" s="134"/>
      <c r="F88" s="134"/>
      <c r="G88" s="134"/>
    </row>
    <row r="89" spans="5:7" x14ac:dyDescent="0.25">
      <c r="E89" s="134"/>
      <c r="F89" s="134"/>
      <c r="G89" s="134"/>
    </row>
    <row r="90" spans="5:7" x14ac:dyDescent="0.25">
      <c r="E90" s="134"/>
      <c r="F90" s="134"/>
      <c r="G90" s="134"/>
    </row>
    <row r="91" spans="5:7" x14ac:dyDescent="0.25">
      <c r="E91" s="134"/>
      <c r="F91" s="134"/>
      <c r="G91" s="134"/>
    </row>
    <row r="92" spans="5:7" x14ac:dyDescent="0.25">
      <c r="E92" s="134"/>
      <c r="F92" s="134"/>
      <c r="G92" s="134"/>
    </row>
    <row r="93" spans="5:7" x14ac:dyDescent="0.25">
      <c r="E93" s="134"/>
      <c r="F93" s="134"/>
      <c r="G93" s="134"/>
    </row>
    <row r="94" spans="5:7" x14ac:dyDescent="0.25">
      <c r="E94" s="134"/>
      <c r="F94" s="134"/>
      <c r="G94" s="134"/>
    </row>
    <row r="95" spans="5:7" x14ac:dyDescent="0.25">
      <c r="E95" s="134"/>
      <c r="F95" s="134"/>
      <c r="G95" s="134"/>
    </row>
    <row r="96" spans="5:7" x14ac:dyDescent="0.25">
      <c r="E96" s="134"/>
      <c r="F96" s="134"/>
      <c r="G96" s="134"/>
    </row>
    <row r="97" spans="5:7" x14ac:dyDescent="0.25">
      <c r="E97" s="134"/>
      <c r="F97" s="134"/>
      <c r="G97" s="134"/>
    </row>
    <row r="98" spans="5:7" x14ac:dyDescent="0.25">
      <c r="E98" s="134"/>
      <c r="F98" s="134"/>
      <c r="G98" s="134"/>
    </row>
    <row r="99" spans="5:7" x14ac:dyDescent="0.25">
      <c r="E99" s="134"/>
      <c r="F99" s="134"/>
      <c r="G99" s="134"/>
    </row>
    <row r="100" spans="5:7" x14ac:dyDescent="0.25">
      <c r="E100" s="134"/>
      <c r="F100" s="134"/>
      <c r="G100" s="134"/>
    </row>
    <row r="101" spans="5:7" x14ac:dyDescent="0.25">
      <c r="E101" s="134"/>
      <c r="F101" s="134"/>
      <c r="G101" s="134"/>
    </row>
    <row r="102" spans="5:7" x14ac:dyDescent="0.25">
      <c r="E102" s="134"/>
      <c r="F102" s="134"/>
      <c r="G102" s="134"/>
    </row>
    <row r="103" spans="5:7" x14ac:dyDescent="0.25">
      <c r="E103" s="134"/>
      <c r="F103" s="134"/>
      <c r="G103" s="134"/>
    </row>
    <row r="104" spans="5:7" x14ac:dyDescent="0.25">
      <c r="E104" s="134"/>
      <c r="F104" s="134"/>
      <c r="G104" s="134"/>
    </row>
    <row r="105" spans="5:7" x14ac:dyDescent="0.25">
      <c r="E105" s="134"/>
      <c r="F105" s="134"/>
      <c r="G105" s="134"/>
    </row>
    <row r="106" spans="5:7" x14ac:dyDescent="0.25">
      <c r="E106" s="134"/>
      <c r="F106" s="134"/>
      <c r="G106" s="134"/>
    </row>
    <row r="107" spans="5:7" x14ac:dyDescent="0.25">
      <c r="E107" s="134"/>
      <c r="F107" s="134"/>
      <c r="G107" s="134"/>
    </row>
    <row r="108" spans="5:7" x14ac:dyDescent="0.25">
      <c r="E108" s="134"/>
      <c r="F108" s="134"/>
      <c r="G108" s="134"/>
    </row>
    <row r="109" spans="5:7" x14ac:dyDescent="0.25">
      <c r="E109" s="134"/>
      <c r="F109" s="134"/>
      <c r="G109" s="134"/>
    </row>
    <row r="110" spans="5:7" x14ac:dyDescent="0.25">
      <c r="E110" s="134"/>
      <c r="F110" s="134"/>
      <c r="G110" s="134"/>
    </row>
    <row r="111" spans="5:7" x14ac:dyDescent="0.25">
      <c r="E111" s="134"/>
      <c r="F111" s="134"/>
      <c r="G111" s="134"/>
    </row>
    <row r="112" spans="5:7" x14ac:dyDescent="0.25">
      <c r="E112" s="134"/>
      <c r="F112" s="134"/>
      <c r="G112" s="134"/>
    </row>
    <row r="113" spans="5:7" x14ac:dyDescent="0.25">
      <c r="E113" s="134"/>
      <c r="F113" s="134"/>
      <c r="G113" s="134"/>
    </row>
    <row r="114" spans="5:7" x14ac:dyDescent="0.25">
      <c r="E114" s="134"/>
      <c r="F114" s="134"/>
      <c r="G114" s="134"/>
    </row>
    <row r="115" spans="5:7" x14ac:dyDescent="0.25">
      <c r="E115" s="134"/>
      <c r="F115" s="134"/>
      <c r="G115" s="134"/>
    </row>
    <row r="116" spans="5:7" x14ac:dyDescent="0.25">
      <c r="E116" s="134"/>
      <c r="F116" s="134"/>
      <c r="G116" s="134"/>
    </row>
    <row r="117" spans="5:7" x14ac:dyDescent="0.25">
      <c r="E117" s="134"/>
      <c r="F117" s="134"/>
      <c r="G117" s="134"/>
    </row>
    <row r="118" spans="5:7" x14ac:dyDescent="0.25">
      <c r="E118" s="134"/>
      <c r="F118" s="134"/>
      <c r="G118" s="134"/>
    </row>
    <row r="119" spans="5:7" x14ac:dyDescent="0.25">
      <c r="E119" s="134"/>
      <c r="F119" s="134"/>
      <c r="G119" s="134"/>
    </row>
    <row r="120" spans="5:7" x14ac:dyDescent="0.25">
      <c r="E120" s="134"/>
      <c r="F120" s="134"/>
      <c r="G120" s="134"/>
    </row>
    <row r="121" spans="5:7" x14ac:dyDescent="0.25">
      <c r="E121" s="134"/>
      <c r="F121" s="134"/>
      <c r="G121" s="134"/>
    </row>
    <row r="122" spans="5:7" x14ac:dyDescent="0.25">
      <c r="E122" s="134"/>
      <c r="F122" s="134"/>
      <c r="G122" s="134"/>
    </row>
    <row r="123" spans="5:7" x14ac:dyDescent="0.25">
      <c r="E123" s="134"/>
      <c r="F123" s="134"/>
      <c r="G123" s="134"/>
    </row>
    <row r="124" spans="5:7" x14ac:dyDescent="0.25">
      <c r="E124" s="134"/>
      <c r="F124" s="134"/>
      <c r="G124" s="134"/>
    </row>
    <row r="125" spans="5:7" x14ac:dyDescent="0.25">
      <c r="E125" s="134"/>
      <c r="F125" s="134"/>
      <c r="G125" s="134"/>
    </row>
    <row r="126" spans="5:7" x14ac:dyDescent="0.25">
      <c r="E126" s="134"/>
      <c r="F126" s="134"/>
      <c r="G126" s="134"/>
    </row>
    <row r="127" spans="5:7" x14ac:dyDescent="0.25">
      <c r="E127" s="134"/>
      <c r="F127" s="134"/>
      <c r="G127" s="134"/>
    </row>
    <row r="128" spans="5:7" x14ac:dyDescent="0.25">
      <c r="E128" s="134"/>
      <c r="F128" s="134"/>
      <c r="G128" s="134"/>
    </row>
    <row r="129" spans="5:7" x14ac:dyDescent="0.25">
      <c r="E129" s="134"/>
      <c r="F129" s="134"/>
      <c r="G129" s="134"/>
    </row>
    <row r="130" spans="5:7" x14ac:dyDescent="0.25">
      <c r="E130" s="134"/>
      <c r="F130" s="134"/>
      <c r="G130" s="134"/>
    </row>
    <row r="131" spans="5:7" x14ac:dyDescent="0.25">
      <c r="E131" s="134"/>
      <c r="F131" s="134"/>
      <c r="G131" s="134"/>
    </row>
    <row r="132" spans="5:7" x14ac:dyDescent="0.25">
      <c r="E132" s="134"/>
      <c r="F132" s="134"/>
      <c r="G132" s="134"/>
    </row>
    <row r="133" spans="5:7" x14ac:dyDescent="0.25">
      <c r="E133" s="134"/>
      <c r="F133" s="134"/>
      <c r="G133" s="134"/>
    </row>
    <row r="134" spans="5:7" x14ac:dyDescent="0.25">
      <c r="E134" s="134"/>
      <c r="F134" s="134"/>
      <c r="G134" s="134"/>
    </row>
    <row r="135" spans="5:7" x14ac:dyDescent="0.25">
      <c r="E135" s="134"/>
      <c r="F135" s="134"/>
      <c r="G135" s="134"/>
    </row>
    <row r="136" spans="5:7" x14ac:dyDescent="0.25">
      <c r="E136" s="134"/>
      <c r="F136" s="134"/>
      <c r="G136" s="134"/>
    </row>
    <row r="137" spans="5:7" x14ac:dyDescent="0.25">
      <c r="E137" s="134"/>
      <c r="F137" s="134"/>
      <c r="G137" s="134"/>
    </row>
    <row r="138" spans="5:7" x14ac:dyDescent="0.25">
      <c r="E138" s="134"/>
      <c r="F138" s="134"/>
      <c r="G138" s="134"/>
    </row>
    <row r="139" spans="5:7" x14ac:dyDescent="0.25">
      <c r="E139" s="134"/>
      <c r="F139" s="134"/>
      <c r="G139" s="134"/>
    </row>
    <row r="140" spans="5:7" x14ac:dyDescent="0.25">
      <c r="E140" s="134"/>
      <c r="F140" s="134"/>
      <c r="G140" s="134"/>
    </row>
    <row r="141" spans="5:7" x14ac:dyDescent="0.25">
      <c r="E141" s="134"/>
      <c r="F141" s="134"/>
      <c r="G141" s="134"/>
    </row>
    <row r="142" spans="5:7" x14ac:dyDescent="0.25">
      <c r="E142" s="134"/>
      <c r="F142" s="134"/>
      <c r="G142" s="134"/>
    </row>
    <row r="143" spans="5:7" x14ac:dyDescent="0.25">
      <c r="E143" s="134"/>
      <c r="F143" s="134"/>
      <c r="G143" s="134"/>
    </row>
    <row r="144" spans="5:7" x14ac:dyDescent="0.25">
      <c r="E144" s="134"/>
      <c r="F144" s="134"/>
      <c r="G144" s="134"/>
    </row>
    <row r="145" spans="5:7" x14ac:dyDescent="0.25">
      <c r="E145" s="134"/>
      <c r="F145" s="134"/>
      <c r="G145" s="134"/>
    </row>
    <row r="146" spans="5:7" x14ac:dyDescent="0.25">
      <c r="E146" s="134"/>
      <c r="F146" s="134"/>
      <c r="G146" s="134"/>
    </row>
    <row r="147" spans="5:7" x14ac:dyDescent="0.25">
      <c r="E147" s="134"/>
      <c r="F147" s="134"/>
      <c r="G147" s="134"/>
    </row>
    <row r="148" spans="5:7" x14ac:dyDescent="0.25">
      <c r="E148" s="134"/>
      <c r="F148" s="134"/>
      <c r="G148" s="134"/>
    </row>
    <row r="149" spans="5:7" x14ac:dyDescent="0.25">
      <c r="E149" s="134"/>
      <c r="F149" s="134"/>
      <c r="G149" s="134"/>
    </row>
    <row r="150" spans="5:7" x14ac:dyDescent="0.25">
      <c r="E150" s="134"/>
      <c r="F150" s="134"/>
      <c r="G150" s="134"/>
    </row>
    <row r="151" spans="5:7" x14ac:dyDescent="0.25">
      <c r="E151" s="134"/>
      <c r="F151" s="134"/>
      <c r="G151" s="134"/>
    </row>
    <row r="152" spans="5:7" x14ac:dyDescent="0.25">
      <c r="E152" s="134"/>
      <c r="F152" s="134"/>
      <c r="G152" s="134"/>
    </row>
    <row r="153" spans="5:7" x14ac:dyDescent="0.25">
      <c r="E153" s="134"/>
      <c r="F153" s="134"/>
      <c r="G153" s="134"/>
    </row>
    <row r="154" spans="5:7" x14ac:dyDescent="0.25">
      <c r="E154" s="134"/>
      <c r="F154" s="134"/>
      <c r="G154" s="134"/>
    </row>
    <row r="155" spans="5:7" x14ac:dyDescent="0.25">
      <c r="E155" s="134"/>
      <c r="F155" s="134"/>
      <c r="G155" s="134"/>
    </row>
    <row r="156" spans="5:7" x14ac:dyDescent="0.25">
      <c r="E156" s="134"/>
      <c r="F156" s="134"/>
      <c r="G156" s="134"/>
    </row>
    <row r="157" spans="5:7" x14ac:dyDescent="0.25">
      <c r="E157" s="134"/>
      <c r="F157" s="134"/>
      <c r="G157" s="134"/>
    </row>
    <row r="158" spans="5:7" x14ac:dyDescent="0.25">
      <c r="E158" s="134"/>
      <c r="F158" s="134"/>
      <c r="G158" s="134"/>
    </row>
    <row r="159" spans="5:7" x14ac:dyDescent="0.25">
      <c r="E159" s="134"/>
      <c r="F159" s="134"/>
      <c r="G159" s="134"/>
    </row>
    <row r="160" spans="5:7" x14ac:dyDescent="0.25">
      <c r="E160" s="134"/>
      <c r="F160" s="134"/>
      <c r="G160" s="134"/>
    </row>
    <row r="161" spans="5:7" x14ac:dyDescent="0.25">
      <c r="E161" s="134"/>
      <c r="F161" s="134"/>
      <c r="G161" s="134"/>
    </row>
    <row r="162" spans="5:7" x14ac:dyDescent="0.25">
      <c r="F162" s="134"/>
      <c r="G162" s="134"/>
    </row>
    <row r="163" spans="5:7" x14ac:dyDescent="0.25">
      <c r="F163" s="134"/>
    </row>
  </sheetData>
  <mergeCells count="5">
    <mergeCell ref="G10:G11"/>
    <mergeCell ref="B36:E36"/>
    <mergeCell ref="G36:J36"/>
    <mergeCell ref="M36:Z36"/>
    <mergeCell ref="G41:H41"/>
  </mergeCells>
  <printOptions horizontalCentered="1"/>
  <pageMargins left="0.7" right="0.7" top="0.75" bottom="0.75" header="0.3" footer="0.3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65"/>
  <sheetViews>
    <sheetView showGridLines="0" zoomScale="110" zoomScaleNormal="110" workbookViewId="0">
      <pane xSplit="4" ySplit="4" topLeftCell="E5" activePane="bottomRight" state="frozen"/>
      <selection pane="topRight" activeCell="E1" sqref="E1"/>
      <selection pane="bottomLeft" activeCell="A4" sqref="A4"/>
      <selection pane="bottomRight" activeCell="R12" sqref="R12"/>
    </sheetView>
  </sheetViews>
  <sheetFormatPr defaultColWidth="8.85546875" defaultRowHeight="15" x14ac:dyDescent="0.25"/>
  <cols>
    <col min="1" max="1" width="1.85546875" customWidth="1"/>
    <col min="2" max="2" width="5.42578125" customWidth="1"/>
    <col min="3" max="3" width="5.7109375" customWidth="1"/>
    <col min="4" max="4" width="32" customWidth="1"/>
    <col min="5" max="7" width="12.7109375" customWidth="1"/>
    <col min="8" max="8" width="2.7109375" customWidth="1"/>
    <col min="9" max="10" width="12.7109375" customWidth="1"/>
    <col min="11" max="11" width="8.7109375" customWidth="1"/>
    <col min="12" max="12" width="9.28515625" customWidth="1"/>
    <col min="13" max="13" width="13.7109375" hidden="1" customWidth="1"/>
    <col min="14" max="14" width="9.28515625" customWidth="1"/>
    <col min="15" max="15" width="9.42578125" bestFit="1" customWidth="1"/>
  </cols>
  <sheetData>
    <row r="1" spans="1:14" ht="43.5" customHeight="1" x14ac:dyDescent="0.25"/>
    <row r="2" spans="1:14" ht="20.25" x14ac:dyDescent="0.25">
      <c r="B2" s="249" t="s">
        <v>136</v>
      </c>
      <c r="C2" s="249"/>
      <c r="D2" s="249"/>
      <c r="E2" s="44"/>
      <c r="F2" s="44"/>
      <c r="G2" s="160"/>
      <c r="H2" s="34"/>
      <c r="I2" s="34"/>
      <c r="J2" s="34"/>
      <c r="K2" s="34"/>
      <c r="M2" s="34"/>
      <c r="N2" s="185"/>
    </row>
    <row r="3" spans="1:14" ht="15" customHeight="1" x14ac:dyDescent="0.25">
      <c r="E3" s="24"/>
      <c r="F3" s="24"/>
      <c r="G3" s="24" t="s">
        <v>242</v>
      </c>
      <c r="H3" s="24"/>
      <c r="I3" s="24"/>
      <c r="J3" s="24" t="s">
        <v>331</v>
      </c>
      <c r="K3" s="24"/>
      <c r="M3" s="24" t="s">
        <v>175</v>
      </c>
    </row>
    <row r="4" spans="1:14" s="1" customFormat="1" ht="30" x14ac:dyDescent="0.25">
      <c r="E4" s="11" t="s">
        <v>152</v>
      </c>
      <c r="F4" s="158" t="s">
        <v>91</v>
      </c>
      <c r="G4" s="11" t="s">
        <v>90</v>
      </c>
      <c r="H4" s="11"/>
      <c r="I4" s="186" t="s">
        <v>139</v>
      </c>
      <c r="J4" s="186" t="s">
        <v>92</v>
      </c>
      <c r="K4" s="11" t="s">
        <v>93</v>
      </c>
      <c r="M4" s="11" t="s">
        <v>192</v>
      </c>
    </row>
    <row r="5" spans="1:14" ht="21" x14ac:dyDescent="0.35">
      <c r="A5" s="194" t="s">
        <v>0</v>
      </c>
      <c r="B5" s="195"/>
      <c r="C5" s="195"/>
      <c r="D5" s="195"/>
      <c r="E5" s="195"/>
      <c r="F5" s="195"/>
      <c r="G5" s="196"/>
      <c r="H5" s="195"/>
      <c r="I5" s="195"/>
      <c r="J5" s="195"/>
      <c r="K5" s="195"/>
      <c r="M5" s="206"/>
    </row>
    <row r="6" spans="1:14" x14ac:dyDescent="0.25">
      <c r="A6" s="7"/>
      <c r="B6" s="7">
        <v>1000</v>
      </c>
      <c r="C6" s="7" t="s">
        <v>1</v>
      </c>
      <c r="D6" s="7"/>
      <c r="E6" s="7"/>
      <c r="F6" s="7"/>
      <c r="G6" s="7"/>
      <c r="H6" s="7"/>
      <c r="I6" s="7"/>
      <c r="J6" s="7"/>
      <c r="K6" s="7"/>
      <c r="M6" s="7"/>
    </row>
    <row r="7" spans="1:14" x14ac:dyDescent="0.25">
      <c r="A7" s="7"/>
      <c r="B7" s="7"/>
      <c r="C7" s="7">
        <v>1510</v>
      </c>
      <c r="D7" s="7" t="s">
        <v>156</v>
      </c>
      <c r="E7" s="8">
        <v>4600</v>
      </c>
      <c r="F7" s="8">
        <v>2663</v>
      </c>
      <c r="G7" s="8">
        <v>4600</v>
      </c>
      <c r="H7" s="38"/>
      <c r="I7" s="8">
        <f>J7-G7</f>
        <v>-1000</v>
      </c>
      <c r="J7" s="8">
        <v>3600</v>
      </c>
      <c r="K7" s="176">
        <f>F7/J7</f>
        <v>0.73972222222222217</v>
      </c>
      <c r="M7" s="8">
        <v>12000</v>
      </c>
    </row>
    <row r="8" spans="1:14" x14ac:dyDescent="0.25">
      <c r="A8" s="7"/>
      <c r="B8" s="7"/>
      <c r="C8" s="7">
        <v>1610</v>
      </c>
      <c r="D8" s="7" t="s">
        <v>163</v>
      </c>
      <c r="E8" s="159">
        <v>2739</v>
      </c>
      <c r="F8" s="8">
        <v>0</v>
      </c>
      <c r="G8" s="159">
        <v>0</v>
      </c>
      <c r="H8" s="38"/>
      <c r="I8" s="8">
        <f>J8-G8</f>
        <v>0</v>
      </c>
      <c r="J8" s="159">
        <v>0</v>
      </c>
      <c r="K8" s="176" t="e">
        <f t="shared" ref="K8:K15" si="0">F8/J8</f>
        <v>#DIV/0!</v>
      </c>
      <c r="M8" s="8">
        <v>48000</v>
      </c>
    </row>
    <row r="9" spans="1:14" x14ac:dyDescent="0.25">
      <c r="A9" s="7"/>
      <c r="B9" s="7"/>
      <c r="C9" s="7">
        <v>1700</v>
      </c>
      <c r="D9" s="7" t="s">
        <v>172</v>
      </c>
      <c r="E9" s="8">
        <f>8508+720</f>
        <v>9228</v>
      </c>
      <c r="F9" s="8">
        <f>2460+7331</f>
        <v>9791</v>
      </c>
      <c r="G9" s="8">
        <v>7000</v>
      </c>
      <c r="H9" s="38"/>
      <c r="I9" s="8">
        <f t="shared" ref="I9:I90" si="1">J9-G9</f>
        <v>2791</v>
      </c>
      <c r="J9" s="8">
        <v>9791</v>
      </c>
      <c r="K9" s="176">
        <f t="shared" si="0"/>
        <v>1</v>
      </c>
      <c r="M9" s="8">
        <v>20000</v>
      </c>
    </row>
    <row r="10" spans="1:14" x14ac:dyDescent="0.25">
      <c r="A10" s="5"/>
      <c r="B10" s="5"/>
      <c r="C10" s="5">
        <v>1720</v>
      </c>
      <c r="D10" s="5" t="s">
        <v>174</v>
      </c>
      <c r="E10" s="6">
        <v>1618</v>
      </c>
      <c r="F10" s="6">
        <v>1208</v>
      </c>
      <c r="G10" s="6">
        <v>0</v>
      </c>
      <c r="H10" s="38"/>
      <c r="I10" s="6">
        <f t="shared" si="1"/>
        <v>1208</v>
      </c>
      <c r="J10" s="6">
        <v>1208</v>
      </c>
      <c r="K10" s="177">
        <f t="shared" si="0"/>
        <v>1</v>
      </c>
      <c r="M10" s="6">
        <v>0</v>
      </c>
    </row>
    <row r="11" spans="1:14" x14ac:dyDescent="0.25">
      <c r="A11" s="5"/>
      <c r="B11" s="5"/>
      <c r="C11" s="5">
        <v>1740</v>
      </c>
      <c r="D11" s="5" t="s">
        <v>211</v>
      </c>
      <c r="E11" s="6">
        <v>0</v>
      </c>
      <c r="F11" s="6">
        <v>30584</v>
      </c>
      <c r="G11" s="6">
        <v>27151</v>
      </c>
      <c r="H11" s="38"/>
      <c r="I11" s="6">
        <f t="shared" si="1"/>
        <v>0</v>
      </c>
      <c r="J11" s="6">
        <v>27151</v>
      </c>
      <c r="K11" s="177">
        <f t="shared" si="0"/>
        <v>1.1264410150639019</v>
      </c>
      <c r="L11" s="232"/>
      <c r="M11" s="6"/>
    </row>
    <row r="12" spans="1:14" x14ac:dyDescent="0.25">
      <c r="A12" s="5"/>
      <c r="B12" s="5"/>
      <c r="C12" s="5">
        <v>1760</v>
      </c>
      <c r="D12" s="5" t="s">
        <v>170</v>
      </c>
      <c r="E12" s="6">
        <v>0</v>
      </c>
      <c r="F12" s="6">
        <v>1275</v>
      </c>
      <c r="G12" s="6">
        <v>0</v>
      </c>
      <c r="H12" s="38"/>
      <c r="I12" s="6">
        <f t="shared" si="1"/>
        <v>1275</v>
      </c>
      <c r="J12" s="6">
        <v>1275</v>
      </c>
      <c r="K12" s="177">
        <f t="shared" si="0"/>
        <v>1</v>
      </c>
      <c r="M12" s="6">
        <v>0</v>
      </c>
    </row>
    <row r="13" spans="1:14" s="21" customFormat="1" x14ac:dyDescent="0.25">
      <c r="C13" s="21">
        <v>1910</v>
      </c>
      <c r="D13" s="21" t="s">
        <v>155</v>
      </c>
      <c r="E13" s="159">
        <v>0</v>
      </c>
      <c r="F13" s="159">
        <v>0</v>
      </c>
      <c r="G13" s="159">
        <v>0</v>
      </c>
      <c r="H13" s="141"/>
      <c r="I13" s="159">
        <f t="shared" si="1"/>
        <v>0</v>
      </c>
      <c r="J13" s="159">
        <v>0</v>
      </c>
      <c r="K13" s="176" t="e">
        <f t="shared" si="0"/>
        <v>#DIV/0!</v>
      </c>
      <c r="M13" s="159">
        <v>0</v>
      </c>
    </row>
    <row r="14" spans="1:14" s="23" customFormat="1" x14ac:dyDescent="0.25">
      <c r="C14" s="23">
        <v>1920</v>
      </c>
      <c r="D14" s="23" t="s">
        <v>58</v>
      </c>
      <c r="E14" s="159">
        <v>10101</v>
      </c>
      <c r="F14" s="159">
        <v>1725</v>
      </c>
      <c r="G14" s="159">
        <v>0</v>
      </c>
      <c r="H14" s="141"/>
      <c r="I14" s="159">
        <f t="shared" si="1"/>
        <v>1725</v>
      </c>
      <c r="J14" s="159">
        <v>1725</v>
      </c>
      <c r="K14" s="176">
        <f t="shared" si="0"/>
        <v>1</v>
      </c>
      <c r="M14" s="159">
        <v>0</v>
      </c>
    </row>
    <row r="15" spans="1:14" s="23" customFormat="1" x14ac:dyDescent="0.25">
      <c r="C15" s="23">
        <v>1921</v>
      </c>
      <c r="D15" s="23" t="s">
        <v>176</v>
      </c>
      <c r="E15" s="159">
        <v>0</v>
      </c>
      <c r="F15" s="159">
        <v>0</v>
      </c>
      <c r="G15" s="159">
        <v>0</v>
      </c>
      <c r="H15" s="141"/>
      <c r="I15" s="159">
        <f t="shared" si="1"/>
        <v>0</v>
      </c>
      <c r="J15" s="159">
        <v>0</v>
      </c>
      <c r="K15" s="176" t="e">
        <f t="shared" si="0"/>
        <v>#DIV/0!</v>
      </c>
      <c r="M15" s="159">
        <v>0</v>
      </c>
    </row>
    <row r="16" spans="1:14" ht="15.75" thickBot="1" x14ac:dyDescent="0.3">
      <c r="A16" s="16"/>
      <c r="B16" s="16"/>
      <c r="C16" s="16"/>
      <c r="D16" s="15" t="s">
        <v>10</v>
      </c>
      <c r="E16" s="9">
        <f>SUM(E7:E15)</f>
        <v>28286</v>
      </c>
      <c r="F16" s="9">
        <f>SUM(F7:F15)</f>
        <v>47246</v>
      </c>
      <c r="G16" s="9">
        <f>SUM(G7:G15)</f>
        <v>38751</v>
      </c>
      <c r="H16" s="40"/>
      <c r="I16" s="9">
        <f t="shared" si="1"/>
        <v>5999</v>
      </c>
      <c r="J16" s="9">
        <f>SUM(J7:J15)</f>
        <v>44750</v>
      </c>
      <c r="K16" s="178">
        <f>F16/J16</f>
        <v>1.0557765363128491</v>
      </c>
      <c r="M16" s="9">
        <f>SUM(M7:M15)</f>
        <v>80000</v>
      </c>
    </row>
    <row r="17" spans="1:18" ht="15.75" thickTop="1" x14ac:dyDescent="0.25">
      <c r="A17" s="7"/>
      <c r="B17" s="7">
        <v>3000</v>
      </c>
      <c r="C17" s="7" t="s">
        <v>3</v>
      </c>
      <c r="D17" s="7"/>
      <c r="E17" s="13"/>
      <c r="F17" s="13"/>
      <c r="G17" s="13"/>
      <c r="H17" s="41"/>
      <c r="I17" s="13"/>
      <c r="J17" s="13"/>
      <c r="K17" s="179"/>
      <c r="M17" s="13"/>
      <c r="O17" s="163"/>
      <c r="P17" s="163"/>
      <c r="Q17" s="163"/>
      <c r="R17" s="163"/>
    </row>
    <row r="18" spans="1:18" x14ac:dyDescent="0.25">
      <c r="A18" s="7"/>
      <c r="B18" s="7"/>
      <c r="C18" s="7">
        <v>3010</v>
      </c>
      <c r="D18" s="7" t="s">
        <v>12</v>
      </c>
      <c r="E18" s="8">
        <v>1180263</v>
      </c>
      <c r="F18" s="8">
        <f>81746+857803</f>
        <v>939549</v>
      </c>
      <c r="G18" s="8">
        <v>1281481</v>
      </c>
      <c r="H18" s="38"/>
      <c r="I18" s="8">
        <f t="shared" si="1"/>
        <v>-37734</v>
      </c>
      <c r="J18" s="8">
        <f>108122+1135625</f>
        <v>1243747</v>
      </c>
      <c r="K18" s="176">
        <f>F18/J18</f>
        <v>0.75541810352105376</v>
      </c>
      <c r="L18" s="12"/>
      <c r="M18" s="159">
        <v>1107197</v>
      </c>
      <c r="O18" s="175"/>
      <c r="P18" s="175"/>
      <c r="Q18" s="175"/>
      <c r="R18" s="175"/>
    </row>
    <row r="19" spans="1:18" x14ac:dyDescent="0.25">
      <c r="A19" s="7"/>
      <c r="B19" s="7"/>
      <c r="C19" s="7">
        <v>3020</v>
      </c>
      <c r="D19" s="7" t="s">
        <v>13</v>
      </c>
      <c r="E19" s="159">
        <v>59294</v>
      </c>
      <c r="F19" s="8">
        <v>47201</v>
      </c>
      <c r="G19" s="159">
        <v>64379</v>
      </c>
      <c r="H19" s="38"/>
      <c r="I19" s="8">
        <f t="shared" si="1"/>
        <v>-1896</v>
      </c>
      <c r="J19" s="159">
        <v>62483</v>
      </c>
      <c r="K19" s="176">
        <f t="shared" ref="K19:K49" si="2">F19/J19</f>
        <v>0.75542147464110243</v>
      </c>
      <c r="L19" s="12"/>
      <c r="M19" s="159">
        <v>54731</v>
      </c>
      <c r="O19" s="175"/>
      <c r="P19" s="175"/>
      <c r="Q19" s="175"/>
      <c r="R19" s="175"/>
    </row>
    <row r="20" spans="1:18" x14ac:dyDescent="0.25">
      <c r="A20" s="12"/>
      <c r="B20" s="12"/>
      <c r="C20" s="12">
        <v>3105</v>
      </c>
      <c r="D20" s="12" t="s">
        <v>14</v>
      </c>
      <c r="E20" s="8">
        <v>205919</v>
      </c>
      <c r="F20" s="8">
        <v>177626</v>
      </c>
      <c r="G20" s="8">
        <v>236835</v>
      </c>
      <c r="H20" s="38"/>
      <c r="I20" s="8">
        <f t="shared" si="1"/>
        <v>0</v>
      </c>
      <c r="J20" s="8">
        <v>236835</v>
      </c>
      <c r="K20" s="176">
        <f t="shared" si="2"/>
        <v>0.74999894441277681</v>
      </c>
      <c r="L20" s="12"/>
      <c r="M20" s="159">
        <v>187125</v>
      </c>
      <c r="O20" s="175"/>
      <c r="P20" s="175"/>
      <c r="Q20" s="175"/>
      <c r="R20" s="175"/>
    </row>
    <row r="21" spans="1:18" x14ac:dyDescent="0.25">
      <c r="A21" s="22"/>
      <c r="B21" s="22"/>
      <c r="C21" s="22">
        <v>3110</v>
      </c>
      <c r="D21" s="22" t="s">
        <v>15</v>
      </c>
      <c r="E21" s="6">
        <v>12146</v>
      </c>
      <c r="F21" s="6">
        <v>2190</v>
      </c>
      <c r="G21" s="6">
        <v>2920</v>
      </c>
      <c r="H21" s="38"/>
      <c r="I21" s="6">
        <f t="shared" si="1"/>
        <v>0</v>
      </c>
      <c r="J21" s="6">
        <v>2920</v>
      </c>
      <c r="K21" s="177">
        <f t="shared" si="2"/>
        <v>0.75</v>
      </c>
      <c r="L21" s="12"/>
      <c r="M21" s="6">
        <v>5239</v>
      </c>
      <c r="N21" t="s">
        <v>387</v>
      </c>
      <c r="O21" s="175"/>
      <c r="P21" s="175"/>
      <c r="Q21" s="175"/>
      <c r="R21" s="175"/>
    </row>
    <row r="22" spans="1:18" x14ac:dyDescent="0.25">
      <c r="A22" s="22"/>
      <c r="B22" s="22"/>
      <c r="C22" s="22">
        <v>3120</v>
      </c>
      <c r="D22" s="22" t="s">
        <v>80</v>
      </c>
      <c r="E22" s="6">
        <v>3193</v>
      </c>
      <c r="F22" s="6">
        <v>2542</v>
      </c>
      <c r="G22" s="6">
        <v>3380</v>
      </c>
      <c r="H22" s="38"/>
      <c r="I22" s="6">
        <f t="shared" si="1"/>
        <v>10</v>
      </c>
      <c r="J22" s="6">
        <v>3390</v>
      </c>
      <c r="K22" s="177">
        <f t="shared" si="2"/>
        <v>0.74985250737463127</v>
      </c>
      <c r="L22" s="12"/>
      <c r="M22" s="6">
        <v>3272</v>
      </c>
      <c r="O22" s="175"/>
      <c r="P22" s="175"/>
      <c r="Q22" s="175"/>
      <c r="R22" s="175"/>
    </row>
    <row r="23" spans="1:18" x14ac:dyDescent="0.25">
      <c r="A23" s="22"/>
      <c r="B23" s="22"/>
      <c r="C23" s="22">
        <v>3125</v>
      </c>
      <c r="D23" s="22" t="s">
        <v>81</v>
      </c>
      <c r="E23" s="6">
        <v>4843</v>
      </c>
      <c r="F23" s="6">
        <v>4302</v>
      </c>
      <c r="G23" s="6">
        <v>5701</v>
      </c>
      <c r="H23" s="38"/>
      <c r="I23" s="6">
        <f t="shared" si="1"/>
        <v>35</v>
      </c>
      <c r="J23" s="6">
        <v>5736</v>
      </c>
      <c r="K23" s="177">
        <f t="shared" si="2"/>
        <v>0.75</v>
      </c>
      <c r="L23" s="12"/>
      <c r="M23" s="6">
        <v>5331</v>
      </c>
      <c r="O23" s="175"/>
      <c r="P23" s="175"/>
      <c r="Q23" s="175"/>
      <c r="R23" s="175"/>
    </row>
    <row r="24" spans="1:18" x14ac:dyDescent="0.25">
      <c r="A24" s="7"/>
      <c r="B24" s="7"/>
      <c r="C24" s="7">
        <v>3128</v>
      </c>
      <c r="D24" s="7" t="s">
        <v>140</v>
      </c>
      <c r="E24" s="8">
        <v>120</v>
      </c>
      <c r="F24" s="8">
        <v>600</v>
      </c>
      <c r="G24" s="8">
        <v>0</v>
      </c>
      <c r="H24" s="38"/>
      <c r="I24" s="8">
        <f t="shared" si="1"/>
        <v>600</v>
      </c>
      <c r="J24" s="8">
        <v>600</v>
      </c>
      <c r="K24" s="176">
        <f t="shared" si="2"/>
        <v>1</v>
      </c>
      <c r="L24" s="12"/>
      <c r="M24" s="159">
        <v>1300</v>
      </c>
      <c r="O24" s="175"/>
      <c r="P24" s="175"/>
      <c r="Q24" s="175"/>
      <c r="R24" s="175"/>
    </row>
    <row r="25" spans="1:18" x14ac:dyDescent="0.25">
      <c r="A25" s="7"/>
      <c r="B25" s="7"/>
      <c r="C25" s="7">
        <v>3211</v>
      </c>
      <c r="D25" s="7" t="s">
        <v>16</v>
      </c>
      <c r="E25" s="159">
        <v>0</v>
      </c>
      <c r="F25" s="8">
        <v>0</v>
      </c>
      <c r="G25" s="159">
        <v>0</v>
      </c>
      <c r="H25" s="38"/>
      <c r="I25" s="8">
        <f t="shared" si="1"/>
        <v>0</v>
      </c>
      <c r="J25" s="159">
        <v>0</v>
      </c>
      <c r="K25" s="176" t="e">
        <f t="shared" si="2"/>
        <v>#DIV/0!</v>
      </c>
      <c r="L25" s="12"/>
      <c r="M25" s="159">
        <v>0</v>
      </c>
      <c r="O25" s="175"/>
      <c r="P25" s="175"/>
      <c r="Q25" s="175"/>
      <c r="R25" s="175"/>
    </row>
    <row r="26" spans="1:18" s="21" customFormat="1" x14ac:dyDescent="0.25">
      <c r="A26" s="23"/>
      <c r="B26" s="23"/>
      <c r="C26" s="23">
        <v>3230</v>
      </c>
      <c r="D26" s="23" t="s">
        <v>17</v>
      </c>
      <c r="E26" s="159">
        <v>123099</v>
      </c>
      <c r="F26" s="159">
        <v>100060</v>
      </c>
      <c r="G26" s="159">
        <v>136900</v>
      </c>
      <c r="H26" s="141"/>
      <c r="I26" s="159">
        <f t="shared" si="1"/>
        <v>-4595</v>
      </c>
      <c r="J26" s="159">
        <v>132305</v>
      </c>
      <c r="K26" s="176">
        <f t="shared" si="2"/>
        <v>0.75628283133668417</v>
      </c>
      <c r="L26" s="23"/>
      <c r="M26" s="159">
        <v>116890</v>
      </c>
      <c r="O26" s="23"/>
      <c r="P26" s="23"/>
      <c r="Q26" s="23"/>
      <c r="R26" s="23"/>
    </row>
    <row r="27" spans="1:18" s="21" customFormat="1" x14ac:dyDescent="0.25">
      <c r="A27" s="22"/>
      <c r="B27" s="22"/>
      <c r="C27" s="22">
        <v>3356</v>
      </c>
      <c r="D27" s="22" t="s">
        <v>212</v>
      </c>
      <c r="E27" s="6">
        <v>10714</v>
      </c>
      <c r="F27" s="6">
        <v>0</v>
      </c>
      <c r="G27" s="6">
        <v>0</v>
      </c>
      <c r="H27" s="141"/>
      <c r="I27" s="6">
        <f t="shared" si="1"/>
        <v>0</v>
      </c>
      <c r="J27" s="6">
        <v>0</v>
      </c>
      <c r="K27" s="177" t="e">
        <f t="shared" si="2"/>
        <v>#DIV/0!</v>
      </c>
      <c r="L27" s="23"/>
      <c r="M27" s="159"/>
      <c r="O27" s="23"/>
      <c r="P27" s="23"/>
      <c r="Q27" s="23"/>
      <c r="R27" s="23"/>
    </row>
    <row r="28" spans="1:18" x14ac:dyDescent="0.25">
      <c r="A28" s="22"/>
      <c r="B28" s="22"/>
      <c r="C28" s="22">
        <v>3336</v>
      </c>
      <c r="D28" s="22" t="s">
        <v>82</v>
      </c>
      <c r="E28" s="6">
        <v>36941</v>
      </c>
      <c r="F28" s="6">
        <v>41494</v>
      </c>
      <c r="G28" s="6">
        <v>55326</v>
      </c>
      <c r="H28" s="38"/>
      <c r="I28" s="6">
        <f t="shared" si="1"/>
        <v>0</v>
      </c>
      <c r="J28" s="6">
        <v>55326</v>
      </c>
      <c r="K28" s="177">
        <f t="shared" si="2"/>
        <v>0.7499909626577016</v>
      </c>
      <c r="L28" s="12"/>
      <c r="M28" s="6">
        <v>36083</v>
      </c>
      <c r="O28" s="175"/>
      <c r="P28" s="175"/>
      <c r="Q28" s="175"/>
      <c r="R28" s="175"/>
    </row>
    <row r="29" spans="1:18" s="21" customFormat="1" x14ac:dyDescent="0.25">
      <c r="A29" s="5"/>
      <c r="B29" s="5"/>
      <c r="C29" s="5">
        <v>3520</v>
      </c>
      <c r="D29" s="5" t="s">
        <v>18</v>
      </c>
      <c r="E29" s="6">
        <v>47772</v>
      </c>
      <c r="F29" s="6">
        <v>50500</v>
      </c>
      <c r="G29" s="6">
        <v>50068</v>
      </c>
      <c r="H29" s="141"/>
      <c r="I29" s="6">
        <f t="shared" si="1"/>
        <v>432</v>
      </c>
      <c r="J29" s="6">
        <v>50500</v>
      </c>
      <c r="K29" s="177">
        <f t="shared" si="2"/>
        <v>1</v>
      </c>
      <c r="M29" s="159">
        <v>47203</v>
      </c>
    </row>
    <row r="30" spans="1:18" s="21" customFormat="1" x14ac:dyDescent="0.25">
      <c r="C30" s="21">
        <v>3666</v>
      </c>
      <c r="D30" s="21" t="s">
        <v>329</v>
      </c>
      <c r="E30" s="159">
        <v>0</v>
      </c>
      <c r="F30" s="159">
        <v>3452</v>
      </c>
      <c r="G30" s="159">
        <v>0</v>
      </c>
      <c r="H30" s="141"/>
      <c r="I30" s="159">
        <f t="shared" si="1"/>
        <v>4603</v>
      </c>
      <c r="J30" s="159">
        <v>4603</v>
      </c>
      <c r="K30" s="176">
        <f t="shared" si="2"/>
        <v>0.74994568759504676</v>
      </c>
      <c r="M30" s="159"/>
    </row>
    <row r="31" spans="1:18" x14ac:dyDescent="0.25">
      <c r="A31" s="12"/>
      <c r="B31" s="12"/>
      <c r="C31" s="12">
        <v>3719</v>
      </c>
      <c r="D31" s="12" t="s">
        <v>19</v>
      </c>
      <c r="E31" s="159">
        <v>973560</v>
      </c>
      <c r="F31" s="8">
        <v>736505</v>
      </c>
      <c r="G31" s="159">
        <v>1026380</v>
      </c>
      <c r="H31" s="38"/>
      <c r="I31" s="8">
        <f t="shared" ref="I31" si="3">J31-G31</f>
        <v>-67525</v>
      </c>
      <c r="J31" s="159">
        <f>2701*355</f>
        <v>958855</v>
      </c>
      <c r="K31" s="176">
        <f t="shared" ref="K31" si="4">F31/J31</f>
        <v>0.76810883814549646</v>
      </c>
      <c r="M31" s="159">
        <f>2570*378</f>
        <v>971460</v>
      </c>
    </row>
    <row r="32" spans="1:18" s="21" customFormat="1" x14ac:dyDescent="0.25">
      <c r="A32" s="23"/>
      <c r="B32" s="23"/>
      <c r="C32" s="23">
        <v>3725</v>
      </c>
      <c r="D32" s="23" t="s">
        <v>21</v>
      </c>
      <c r="E32" s="159">
        <v>35000</v>
      </c>
      <c r="F32" s="159">
        <v>29924</v>
      </c>
      <c r="G32" s="159">
        <v>39781</v>
      </c>
      <c r="H32" s="141"/>
      <c r="I32" s="159">
        <f t="shared" si="1"/>
        <v>118</v>
      </c>
      <c r="J32" s="159">
        <v>39899</v>
      </c>
      <c r="K32" s="176">
        <f t="shared" si="2"/>
        <v>0.74999373417880144</v>
      </c>
      <c r="M32" s="159">
        <v>25000</v>
      </c>
    </row>
    <row r="33" spans="1:17" s="21" customFormat="1" x14ac:dyDescent="0.25">
      <c r="A33" s="22"/>
      <c r="B33" s="22"/>
      <c r="C33" s="22">
        <v>3765</v>
      </c>
      <c r="D33" s="22" t="s">
        <v>327</v>
      </c>
      <c r="E33" s="6">
        <v>0</v>
      </c>
      <c r="F33" s="6">
        <v>17000</v>
      </c>
      <c r="G33" s="6">
        <v>0</v>
      </c>
      <c r="H33" s="141"/>
      <c r="I33" s="6">
        <f t="shared" si="1"/>
        <v>17000</v>
      </c>
      <c r="J33" s="6">
        <v>17000</v>
      </c>
      <c r="K33" s="177">
        <f t="shared" si="2"/>
        <v>1</v>
      </c>
      <c r="M33" s="159"/>
    </row>
    <row r="34" spans="1:17" s="21" customFormat="1" x14ac:dyDescent="0.25">
      <c r="A34" s="22"/>
      <c r="B34" s="22"/>
      <c r="C34" s="22">
        <v>3770</v>
      </c>
      <c r="D34" s="22" t="s">
        <v>20</v>
      </c>
      <c r="E34" s="6">
        <v>25000</v>
      </c>
      <c r="F34" s="6">
        <v>22989</v>
      </c>
      <c r="G34" s="6">
        <v>25000</v>
      </c>
      <c r="H34" s="141"/>
      <c r="I34" s="6">
        <f t="shared" si="1"/>
        <v>0</v>
      </c>
      <c r="J34" s="6">
        <v>25000</v>
      </c>
      <c r="K34" s="177">
        <f t="shared" si="2"/>
        <v>0.91956000000000004</v>
      </c>
      <c r="M34" s="159">
        <v>22000</v>
      </c>
    </row>
    <row r="35" spans="1:17" s="21" customFormat="1" x14ac:dyDescent="0.25">
      <c r="A35" s="5"/>
      <c r="B35" s="5"/>
      <c r="C35" s="5">
        <v>3900</v>
      </c>
      <c r="D35" s="5" t="s">
        <v>146</v>
      </c>
      <c r="E35" s="6">
        <v>21919</v>
      </c>
      <c r="F35" s="6">
        <v>491</v>
      </c>
      <c r="G35" s="6">
        <v>21919</v>
      </c>
      <c r="H35" s="141"/>
      <c r="I35" s="6">
        <f t="shared" si="1"/>
        <v>1034</v>
      </c>
      <c r="J35" s="6">
        <f>22462+491</f>
        <v>22953</v>
      </c>
      <c r="K35" s="177">
        <f t="shared" si="2"/>
        <v>2.1391539232344357E-2</v>
      </c>
      <c r="M35" s="159">
        <v>16958</v>
      </c>
      <c r="N35" s="21" t="s">
        <v>384</v>
      </c>
    </row>
    <row r="36" spans="1:17" s="21" customFormat="1" x14ac:dyDescent="0.25">
      <c r="C36" s="21">
        <v>3805</v>
      </c>
      <c r="D36" s="21" t="s">
        <v>159</v>
      </c>
      <c r="E36" s="159">
        <v>17825</v>
      </c>
      <c r="F36" s="159">
        <v>18097</v>
      </c>
      <c r="G36" s="159">
        <v>20409</v>
      </c>
      <c r="H36" s="141"/>
      <c r="I36" s="159">
        <f t="shared" si="1"/>
        <v>3720</v>
      </c>
      <c r="J36" s="159">
        <v>24129</v>
      </c>
      <c r="K36" s="176">
        <f t="shared" si="2"/>
        <v>0.75001036097641838</v>
      </c>
      <c r="M36" s="159">
        <v>502</v>
      </c>
    </row>
    <row r="37" spans="1:17" s="21" customFormat="1" x14ac:dyDescent="0.25">
      <c r="A37" s="23"/>
      <c r="B37" s="23"/>
      <c r="C37" s="23">
        <v>3810</v>
      </c>
      <c r="D37" s="23" t="s">
        <v>59</v>
      </c>
      <c r="E37" s="159">
        <v>518</v>
      </c>
      <c r="F37" s="159">
        <v>388</v>
      </c>
      <c r="G37" s="159">
        <v>518</v>
      </c>
      <c r="H37" s="141"/>
      <c r="I37" s="159">
        <f t="shared" si="1"/>
        <v>-1</v>
      </c>
      <c r="J37" s="159">
        <v>517</v>
      </c>
      <c r="K37" s="176">
        <f t="shared" si="2"/>
        <v>0.75048355899419728</v>
      </c>
      <c r="M37" s="159">
        <v>0</v>
      </c>
    </row>
    <row r="38" spans="1:17" s="21" customFormat="1" x14ac:dyDescent="0.25">
      <c r="A38" s="23"/>
      <c r="B38" s="23"/>
      <c r="C38" s="23">
        <v>3868</v>
      </c>
      <c r="D38" s="23" t="s">
        <v>83</v>
      </c>
      <c r="E38" s="159">
        <v>4307</v>
      </c>
      <c r="F38" s="159">
        <v>4013</v>
      </c>
      <c r="G38" s="159">
        <v>4305</v>
      </c>
      <c r="H38" s="141"/>
      <c r="I38" s="159">
        <f t="shared" si="1"/>
        <v>-292</v>
      </c>
      <c r="J38" s="159">
        <v>4013</v>
      </c>
      <c r="K38" s="176">
        <f t="shared" si="2"/>
        <v>1</v>
      </c>
      <c r="M38" s="159">
        <v>121739</v>
      </c>
    </row>
    <row r="39" spans="1:17" s="21" customFormat="1" x14ac:dyDescent="0.25">
      <c r="A39" s="5"/>
      <c r="B39" s="5"/>
      <c r="C39" s="5">
        <v>3876</v>
      </c>
      <c r="D39" s="5" t="s">
        <v>22</v>
      </c>
      <c r="E39" s="6">
        <v>139344</v>
      </c>
      <c r="F39" s="6">
        <v>101385</v>
      </c>
      <c r="G39" s="6">
        <v>139344</v>
      </c>
      <c r="H39" s="141"/>
      <c r="I39" s="6">
        <f t="shared" si="1"/>
        <v>-5465</v>
      </c>
      <c r="J39" s="6">
        <v>133879</v>
      </c>
      <c r="K39" s="177">
        <f t="shared" si="2"/>
        <v>0.75728829764190053</v>
      </c>
      <c r="M39" s="159">
        <v>0</v>
      </c>
    </row>
    <row r="40" spans="1:17" s="21" customFormat="1" x14ac:dyDescent="0.25">
      <c r="A40" s="5"/>
      <c r="B40" s="5"/>
      <c r="C40" s="5">
        <v>3872</v>
      </c>
      <c r="D40" s="5" t="s">
        <v>328</v>
      </c>
      <c r="E40" s="6">
        <v>0</v>
      </c>
      <c r="F40" s="6">
        <v>2333</v>
      </c>
      <c r="G40" s="6">
        <v>0</v>
      </c>
      <c r="H40" s="141"/>
      <c r="I40" s="6">
        <f t="shared" si="1"/>
        <v>2333</v>
      </c>
      <c r="J40" s="6">
        <v>2333</v>
      </c>
      <c r="K40" s="177">
        <f t="shared" si="2"/>
        <v>1</v>
      </c>
      <c r="M40" s="159"/>
    </row>
    <row r="41" spans="1:17" s="21" customFormat="1" x14ac:dyDescent="0.25">
      <c r="A41" s="5"/>
      <c r="B41" s="5"/>
      <c r="C41" s="22">
        <v>3874</v>
      </c>
      <c r="D41" s="22" t="s">
        <v>235</v>
      </c>
      <c r="E41" s="6">
        <v>1066</v>
      </c>
      <c r="F41" s="6">
        <v>1000</v>
      </c>
      <c r="G41" s="6">
        <v>1066</v>
      </c>
      <c r="H41" s="141"/>
      <c r="I41" s="6">
        <f t="shared" si="1"/>
        <v>-66</v>
      </c>
      <c r="J41" s="6">
        <v>1000</v>
      </c>
      <c r="K41" s="177">
        <f t="shared" si="2"/>
        <v>1</v>
      </c>
      <c r="M41" s="159">
        <v>50000</v>
      </c>
    </row>
    <row r="42" spans="1:17" s="21" customFormat="1" x14ac:dyDescent="0.25">
      <c r="C42" s="21">
        <v>3882</v>
      </c>
      <c r="D42" s="21" t="s">
        <v>89</v>
      </c>
      <c r="E42" s="159">
        <v>18931</v>
      </c>
      <c r="F42" s="159">
        <v>34087</v>
      </c>
      <c r="G42" s="159">
        <v>18931</v>
      </c>
      <c r="H42" s="141"/>
      <c r="I42" s="159">
        <f t="shared" si="1"/>
        <v>26519</v>
      </c>
      <c r="J42" s="159">
        <v>45450</v>
      </c>
      <c r="K42" s="176">
        <f t="shared" si="2"/>
        <v>0.74998899889989001</v>
      </c>
      <c r="M42" s="159">
        <v>0</v>
      </c>
    </row>
    <row r="43" spans="1:17" s="21" customFormat="1" x14ac:dyDescent="0.25">
      <c r="C43" s="21">
        <v>3900</v>
      </c>
      <c r="D43" s="21" t="s">
        <v>145</v>
      </c>
      <c r="E43" s="159">
        <v>50000</v>
      </c>
      <c r="F43" s="159">
        <v>25000</v>
      </c>
      <c r="G43" s="159">
        <v>25000</v>
      </c>
      <c r="H43" s="141"/>
      <c r="I43" s="159">
        <f t="shared" si="1"/>
        <v>0</v>
      </c>
      <c r="J43" s="159">
        <v>25000</v>
      </c>
      <c r="K43" s="176">
        <f t="shared" si="2"/>
        <v>1</v>
      </c>
      <c r="M43" s="159">
        <v>49712</v>
      </c>
    </row>
    <row r="44" spans="1:17" s="21" customFormat="1" x14ac:dyDescent="0.25">
      <c r="C44" s="21">
        <v>3900</v>
      </c>
      <c r="D44" s="21" t="s">
        <v>193</v>
      </c>
      <c r="E44" s="159">
        <v>32942</v>
      </c>
      <c r="F44" s="159">
        <v>11558</v>
      </c>
      <c r="G44" s="159">
        <v>36557</v>
      </c>
      <c r="H44" s="141"/>
      <c r="I44" s="159">
        <f t="shared" si="1"/>
        <v>2419</v>
      </c>
      <c r="J44" s="159">
        <v>38976</v>
      </c>
      <c r="K44" s="176">
        <f t="shared" si="2"/>
        <v>0.29654146141215104</v>
      </c>
      <c r="M44" s="211">
        <v>107792</v>
      </c>
    </row>
    <row r="45" spans="1:17" s="21" customFormat="1" x14ac:dyDescent="0.25">
      <c r="A45" s="5"/>
      <c r="B45" s="5"/>
      <c r="C45" s="5">
        <v>3900</v>
      </c>
      <c r="D45" s="5" t="s">
        <v>194</v>
      </c>
      <c r="E45" s="6">
        <v>30000</v>
      </c>
      <c r="F45" s="6">
        <v>46989</v>
      </c>
      <c r="G45" s="6">
        <v>30000</v>
      </c>
      <c r="H45" s="141"/>
      <c r="I45" s="6">
        <f t="shared" si="1"/>
        <v>32652</v>
      </c>
      <c r="J45" s="6">
        <v>62652</v>
      </c>
      <c r="K45" s="177">
        <f t="shared" si="2"/>
        <v>0.75</v>
      </c>
      <c r="M45" s="211"/>
      <c r="N45" s="21" t="s">
        <v>388</v>
      </c>
    </row>
    <row r="46" spans="1:17" s="21" customFormat="1" x14ac:dyDescent="0.25">
      <c r="A46" s="5"/>
      <c r="B46" s="5"/>
      <c r="C46" s="5">
        <v>3900</v>
      </c>
      <c r="D46" s="5" t="s">
        <v>164</v>
      </c>
      <c r="E46" s="6">
        <v>52020</v>
      </c>
      <c r="F46" s="6">
        <v>49945</v>
      </c>
      <c r="G46" s="6">
        <v>68314</v>
      </c>
      <c r="H46" s="141"/>
      <c r="I46" s="6">
        <f t="shared" si="1"/>
        <v>-2261</v>
      </c>
      <c r="J46" s="6">
        <v>66053</v>
      </c>
      <c r="K46" s="177">
        <f t="shared" si="2"/>
        <v>0.75613522474376638</v>
      </c>
      <c r="M46" s="211">
        <v>466100</v>
      </c>
      <c r="O46" s="21" t="s">
        <v>164</v>
      </c>
    </row>
    <row r="47" spans="1:17" s="21" customFormat="1" x14ac:dyDescent="0.25">
      <c r="A47" s="5"/>
      <c r="B47" s="5"/>
      <c r="C47" s="5">
        <v>3999</v>
      </c>
      <c r="D47" s="5" t="s">
        <v>173</v>
      </c>
      <c r="E47" s="6">
        <v>324584</v>
      </c>
      <c r="F47" s="6">
        <v>0</v>
      </c>
      <c r="G47" s="6">
        <v>266617</v>
      </c>
      <c r="H47" s="141"/>
      <c r="I47" s="6">
        <f t="shared" si="1"/>
        <v>-125101</v>
      </c>
      <c r="J47" s="6">
        <v>141516</v>
      </c>
      <c r="K47" s="177">
        <f t="shared" si="2"/>
        <v>0</v>
      </c>
      <c r="M47" s="159">
        <v>0</v>
      </c>
      <c r="O47" s="21" t="s">
        <v>234</v>
      </c>
      <c r="Q47" s="21" t="s">
        <v>233</v>
      </c>
    </row>
    <row r="48" spans="1:17" s="21" customFormat="1" x14ac:dyDescent="0.25">
      <c r="C48" s="21">
        <v>3900</v>
      </c>
      <c r="D48" s="21" t="s">
        <v>213</v>
      </c>
      <c r="E48" s="159">
        <v>7010</v>
      </c>
      <c r="F48" s="159">
        <v>0</v>
      </c>
      <c r="G48" s="159">
        <v>0</v>
      </c>
      <c r="H48" s="141"/>
      <c r="I48" s="159">
        <f t="shared" si="1"/>
        <v>0</v>
      </c>
      <c r="J48" s="159">
        <v>0</v>
      </c>
      <c r="K48" s="176" t="e">
        <f t="shared" si="2"/>
        <v>#DIV/0!</v>
      </c>
      <c r="M48" s="159"/>
    </row>
    <row r="49" spans="1:16" s="21" customFormat="1" x14ac:dyDescent="0.25">
      <c r="C49" s="21">
        <v>3258</v>
      </c>
      <c r="D49" s="21" t="s">
        <v>261</v>
      </c>
      <c r="E49" s="159">
        <v>68211</v>
      </c>
      <c r="F49" s="159">
        <v>0</v>
      </c>
      <c r="G49" s="159">
        <v>0</v>
      </c>
      <c r="H49" s="141"/>
      <c r="I49" s="159">
        <f t="shared" si="1"/>
        <v>0</v>
      </c>
      <c r="J49" s="159">
        <v>0</v>
      </c>
      <c r="K49" s="176" t="e">
        <f t="shared" si="2"/>
        <v>#DIV/0!</v>
      </c>
      <c r="M49" s="159"/>
    </row>
    <row r="50" spans="1:16" ht="15.75" thickBot="1" x14ac:dyDescent="0.3">
      <c r="A50" s="14"/>
      <c r="B50" s="14"/>
      <c r="C50" s="14"/>
      <c r="D50" s="15" t="s">
        <v>11</v>
      </c>
      <c r="E50" s="9">
        <f>SUM(E18:E49)</f>
        <v>3486541</v>
      </c>
      <c r="F50" s="9">
        <f>SUM(F18:F49)</f>
        <v>2471220</v>
      </c>
      <c r="G50" s="9">
        <f>SUM(G18:G49)</f>
        <v>3561131</v>
      </c>
      <c r="H50" s="40"/>
      <c r="I50" s="9">
        <f t="shared" si="1"/>
        <v>-153461</v>
      </c>
      <c r="J50" s="9">
        <f>SUM(J18:J49)</f>
        <v>3407670</v>
      </c>
      <c r="K50" s="180">
        <f>F50/J50</f>
        <v>0.72519346063439238</v>
      </c>
      <c r="M50" s="9">
        <f>SUM(M18:M47)</f>
        <v>3395634</v>
      </c>
    </row>
    <row r="51" spans="1:16" ht="15.75" thickTop="1" x14ac:dyDescent="0.25">
      <c r="A51" s="7"/>
      <c r="B51" s="7">
        <v>4000</v>
      </c>
      <c r="C51" s="7" t="s">
        <v>2</v>
      </c>
      <c r="D51" s="7"/>
      <c r="E51" s="13"/>
      <c r="F51" s="13"/>
      <c r="G51" s="13"/>
      <c r="H51" s="41"/>
      <c r="I51" s="13"/>
      <c r="J51" s="13"/>
      <c r="K51" s="179"/>
      <c r="M51" s="13"/>
    </row>
    <row r="52" spans="1:16" x14ac:dyDescent="0.25">
      <c r="A52" s="7"/>
      <c r="B52" s="7"/>
      <c r="C52" s="7">
        <v>4522</v>
      </c>
      <c r="D52" s="7" t="s">
        <v>147</v>
      </c>
      <c r="E52" s="159">
        <v>1587</v>
      </c>
      <c r="F52" s="159">
        <v>0</v>
      </c>
      <c r="G52" s="159">
        <v>2974</v>
      </c>
      <c r="H52" s="141"/>
      <c r="I52" s="159">
        <f t="shared" si="1"/>
        <v>0</v>
      </c>
      <c r="J52" s="159">
        <v>2974</v>
      </c>
      <c r="K52" s="176">
        <f>F52/J52</f>
        <v>0</v>
      </c>
      <c r="M52" s="8">
        <v>1570</v>
      </c>
    </row>
    <row r="53" spans="1:16" x14ac:dyDescent="0.25">
      <c r="A53" s="7"/>
      <c r="B53" s="7"/>
      <c r="C53" s="7">
        <v>4524</v>
      </c>
      <c r="D53" s="7" t="s">
        <v>148</v>
      </c>
      <c r="E53" s="159">
        <v>80657</v>
      </c>
      <c r="F53" s="159">
        <v>0</v>
      </c>
      <c r="G53" s="159">
        <v>113292</v>
      </c>
      <c r="H53" s="141"/>
      <c r="I53" s="159">
        <f t="shared" si="1"/>
        <v>0</v>
      </c>
      <c r="J53" s="159">
        <v>113292</v>
      </c>
      <c r="K53" s="176">
        <f t="shared" ref="K53:K72" si="5">F53/J53</f>
        <v>0</v>
      </c>
      <c r="L53">
        <v>26961</v>
      </c>
      <c r="M53" s="8">
        <v>91877</v>
      </c>
      <c r="N53">
        <v>20098.84</v>
      </c>
    </row>
    <row r="54" spans="1:16" x14ac:dyDescent="0.25">
      <c r="A54" s="7"/>
      <c r="B54" s="7"/>
      <c r="C54" s="7">
        <v>4524</v>
      </c>
      <c r="D54" s="7" t="s">
        <v>370</v>
      </c>
      <c r="E54" s="159">
        <v>0</v>
      </c>
      <c r="F54" s="159">
        <v>25000</v>
      </c>
      <c r="G54" s="159">
        <v>0</v>
      </c>
      <c r="H54" s="141"/>
      <c r="I54" s="159">
        <f t="shared" si="1"/>
        <v>25000</v>
      </c>
      <c r="J54" s="159">
        <v>25000</v>
      </c>
      <c r="K54" s="176">
        <f t="shared" si="5"/>
        <v>1</v>
      </c>
      <c r="M54" s="8"/>
    </row>
    <row r="55" spans="1:16" x14ac:dyDescent="0.25">
      <c r="A55" s="5"/>
      <c r="B55" s="5"/>
      <c r="C55" s="5">
        <v>4524</v>
      </c>
      <c r="D55" s="5" t="s">
        <v>371</v>
      </c>
      <c r="E55" s="6">
        <v>0</v>
      </c>
      <c r="F55" s="6">
        <v>0</v>
      </c>
      <c r="G55" s="6">
        <v>0</v>
      </c>
      <c r="H55" s="141"/>
      <c r="I55" s="6">
        <f t="shared" si="1"/>
        <v>7627</v>
      </c>
      <c r="J55" s="6">
        <v>7627</v>
      </c>
      <c r="K55" s="177">
        <f t="shared" si="5"/>
        <v>0</v>
      </c>
      <c r="L55" s="157"/>
      <c r="M55" s="8"/>
    </row>
    <row r="56" spans="1:16" x14ac:dyDescent="0.25">
      <c r="A56" s="5"/>
      <c r="B56" s="5"/>
      <c r="C56" s="5">
        <v>4560</v>
      </c>
      <c r="D56" s="5" t="s">
        <v>330</v>
      </c>
      <c r="E56" s="6">
        <v>0</v>
      </c>
      <c r="F56" s="6">
        <v>11458</v>
      </c>
      <c r="G56" s="6">
        <v>0</v>
      </c>
      <c r="H56" s="141"/>
      <c r="I56" s="6">
        <f t="shared" si="1"/>
        <v>11458</v>
      </c>
      <c r="J56" s="6">
        <v>11458</v>
      </c>
      <c r="K56" s="177">
        <f t="shared" si="5"/>
        <v>1</v>
      </c>
      <c r="M56" s="8"/>
    </row>
    <row r="57" spans="1:16" x14ac:dyDescent="0.25">
      <c r="A57" s="22"/>
      <c r="B57" s="22"/>
      <c r="C57" s="22">
        <v>4571</v>
      </c>
      <c r="D57" s="22" t="s">
        <v>24</v>
      </c>
      <c r="E57" s="6">
        <v>10700</v>
      </c>
      <c r="F57" s="6">
        <v>10103</v>
      </c>
      <c r="G57" s="6">
        <v>9000</v>
      </c>
      <c r="H57" s="38"/>
      <c r="I57" s="6">
        <f t="shared" si="1"/>
        <v>2000</v>
      </c>
      <c r="J57" s="6">
        <v>11000</v>
      </c>
      <c r="K57" s="177">
        <f t="shared" si="5"/>
        <v>0.91845454545454541</v>
      </c>
      <c r="M57" s="8">
        <v>15000</v>
      </c>
    </row>
    <row r="58" spans="1:16" s="21" customFormat="1" x14ac:dyDescent="0.25">
      <c r="A58" s="23"/>
      <c r="B58" s="23"/>
      <c r="C58" s="23">
        <v>4572</v>
      </c>
      <c r="D58" s="23" t="s">
        <v>25</v>
      </c>
      <c r="E58" s="159">
        <v>80200</v>
      </c>
      <c r="F58" s="159">
        <v>110062</v>
      </c>
      <c r="G58" s="159">
        <v>66000</v>
      </c>
      <c r="H58" s="141"/>
      <c r="I58" s="159">
        <f t="shared" si="1"/>
        <v>49000</v>
      </c>
      <c r="J58" s="159">
        <v>115000</v>
      </c>
      <c r="K58" s="176">
        <f t="shared" si="5"/>
        <v>0.95706086956521741</v>
      </c>
      <c r="M58" s="159">
        <v>75000</v>
      </c>
    </row>
    <row r="59" spans="1:16" s="21" customFormat="1" x14ac:dyDescent="0.25">
      <c r="A59" s="23"/>
      <c r="B59" s="23"/>
      <c r="C59" s="23">
        <v>4574</v>
      </c>
      <c r="D59" s="23" t="s">
        <v>77</v>
      </c>
      <c r="E59" s="159">
        <v>48700</v>
      </c>
      <c r="F59" s="159">
        <v>56545</v>
      </c>
      <c r="G59" s="159">
        <v>41000</v>
      </c>
      <c r="H59" s="141"/>
      <c r="I59" s="159">
        <f t="shared" si="1"/>
        <v>19000</v>
      </c>
      <c r="J59" s="159">
        <v>60000</v>
      </c>
      <c r="K59" s="176">
        <f t="shared" si="5"/>
        <v>0.94241666666666668</v>
      </c>
      <c r="M59" s="159">
        <v>48000</v>
      </c>
    </row>
    <row r="60" spans="1:16" s="21" customFormat="1" x14ac:dyDescent="0.25">
      <c r="C60" s="21">
        <v>4820</v>
      </c>
      <c r="D60" s="21" t="s">
        <v>26</v>
      </c>
      <c r="E60" s="159">
        <v>64957</v>
      </c>
      <c r="F60" s="159">
        <v>0</v>
      </c>
      <c r="G60" s="159">
        <v>64957</v>
      </c>
      <c r="H60" s="141"/>
      <c r="I60" s="159">
        <f t="shared" si="1"/>
        <v>2125</v>
      </c>
      <c r="J60" s="159">
        <v>67082</v>
      </c>
      <c r="K60" s="176">
        <f t="shared" si="5"/>
        <v>0</v>
      </c>
      <c r="M60" s="159">
        <v>65536</v>
      </c>
    </row>
    <row r="61" spans="1:16" x14ac:dyDescent="0.25">
      <c r="A61" s="5"/>
      <c r="B61" s="5"/>
      <c r="C61" s="5">
        <v>4860</v>
      </c>
      <c r="D61" s="5" t="s">
        <v>27</v>
      </c>
      <c r="E61" s="6">
        <v>9568</v>
      </c>
      <c r="F61" s="6">
        <v>0</v>
      </c>
      <c r="G61" s="6">
        <v>9568</v>
      </c>
      <c r="H61" s="38"/>
      <c r="I61" s="6">
        <f t="shared" si="1"/>
        <v>542</v>
      </c>
      <c r="J61" s="6">
        <v>10110</v>
      </c>
      <c r="K61" s="177">
        <f t="shared" si="5"/>
        <v>0</v>
      </c>
      <c r="M61" s="159">
        <v>9102</v>
      </c>
    </row>
    <row r="62" spans="1:16" s="21" customFormat="1" x14ac:dyDescent="0.25">
      <c r="A62" s="5"/>
      <c r="B62" s="5"/>
      <c r="C62" s="5">
        <v>4870</v>
      </c>
      <c r="D62" s="5" t="s">
        <v>191</v>
      </c>
      <c r="E62" s="210">
        <v>20000</v>
      </c>
      <c r="F62" s="210">
        <v>0</v>
      </c>
      <c r="G62" s="210">
        <v>10000</v>
      </c>
      <c r="H62" s="224"/>
      <c r="I62" s="6">
        <f t="shared" si="1"/>
        <v>0</v>
      </c>
      <c r="J62" s="210">
        <v>10000</v>
      </c>
      <c r="K62" s="177">
        <f t="shared" si="5"/>
        <v>0</v>
      </c>
      <c r="M62" s="159">
        <v>10000</v>
      </c>
      <c r="P62" s="21" t="s">
        <v>332</v>
      </c>
    </row>
    <row r="63" spans="1:16" s="21" customFormat="1" x14ac:dyDescent="0.25">
      <c r="A63" s="5"/>
      <c r="B63" s="5"/>
      <c r="C63" s="5">
        <v>4200</v>
      </c>
      <c r="D63" s="5" t="s">
        <v>389</v>
      </c>
      <c r="E63" s="210">
        <v>32712</v>
      </c>
      <c r="F63" s="210">
        <v>0</v>
      </c>
      <c r="G63" s="210">
        <v>0</v>
      </c>
      <c r="H63" s="224"/>
      <c r="I63" s="6">
        <f t="shared" si="1"/>
        <v>20466</v>
      </c>
      <c r="J63" s="210">
        <v>20466</v>
      </c>
      <c r="K63" s="177">
        <f t="shared" si="5"/>
        <v>0</v>
      </c>
      <c r="M63" s="159">
        <v>53191</v>
      </c>
      <c r="N63" s="21">
        <v>20465.71</v>
      </c>
    </row>
    <row r="64" spans="1:16" s="21" customFormat="1" x14ac:dyDescent="0.25">
      <c r="C64" s="21">
        <v>4200</v>
      </c>
      <c r="D64" s="21" t="s">
        <v>390</v>
      </c>
      <c r="E64" s="223">
        <v>38961</v>
      </c>
      <c r="F64" s="223">
        <v>0</v>
      </c>
      <c r="G64" s="223">
        <v>0</v>
      </c>
      <c r="H64" s="224"/>
      <c r="I64" s="159">
        <f t="shared" si="1"/>
        <v>0</v>
      </c>
      <c r="J64" s="223">
        <v>0</v>
      </c>
      <c r="K64" s="176" t="e">
        <f t="shared" si="5"/>
        <v>#DIV/0!</v>
      </c>
      <c r="M64" s="159"/>
    </row>
    <row r="65" spans="1:15" s="21" customFormat="1" x14ac:dyDescent="0.25">
      <c r="C65" s="21">
        <v>4200</v>
      </c>
      <c r="D65" s="23" t="s">
        <v>391</v>
      </c>
      <c r="E65" s="223">
        <v>0</v>
      </c>
      <c r="F65" s="223">
        <v>0</v>
      </c>
      <c r="G65" s="223">
        <v>0</v>
      </c>
      <c r="H65" s="224"/>
      <c r="I65" s="159">
        <v>0</v>
      </c>
      <c r="J65" s="242">
        <v>0</v>
      </c>
      <c r="K65" s="176" t="e">
        <f t="shared" si="5"/>
        <v>#DIV/0!</v>
      </c>
      <c r="L65" s="240">
        <v>26548</v>
      </c>
      <c r="M65" s="223"/>
    </row>
    <row r="66" spans="1:15" s="21" customFormat="1" x14ac:dyDescent="0.25">
      <c r="C66" s="21">
        <v>4200</v>
      </c>
      <c r="D66" s="21" t="s">
        <v>392</v>
      </c>
      <c r="E66" s="223">
        <v>0</v>
      </c>
      <c r="F66" s="223">
        <v>0</v>
      </c>
      <c r="G66" s="223">
        <v>214892</v>
      </c>
      <c r="H66" s="224"/>
      <c r="I66" s="159">
        <f t="shared" si="1"/>
        <v>0</v>
      </c>
      <c r="J66" s="223">
        <v>214892</v>
      </c>
      <c r="K66" s="176">
        <f t="shared" si="5"/>
        <v>0</v>
      </c>
      <c r="M66" s="159"/>
    </row>
    <row r="67" spans="1:15" s="21" customFormat="1" x14ac:dyDescent="0.25">
      <c r="A67" s="5"/>
      <c r="B67" s="5"/>
      <c r="C67" s="5">
        <v>4200</v>
      </c>
      <c r="D67" s="22" t="s">
        <v>393</v>
      </c>
      <c r="E67" s="210">
        <v>0</v>
      </c>
      <c r="F67" s="210">
        <v>0</v>
      </c>
      <c r="G67" s="210">
        <v>0</v>
      </c>
      <c r="H67" s="224"/>
      <c r="I67" s="6">
        <f t="shared" si="1"/>
        <v>100000</v>
      </c>
      <c r="J67" s="242">
        <v>100000</v>
      </c>
      <c r="K67" s="177">
        <f t="shared" si="5"/>
        <v>0</v>
      </c>
      <c r="L67" s="239">
        <v>482934</v>
      </c>
      <c r="M67" s="159"/>
    </row>
    <row r="68" spans="1:15" s="21" customFormat="1" x14ac:dyDescent="0.25">
      <c r="A68" s="5"/>
      <c r="B68" s="5"/>
      <c r="C68" s="5">
        <v>4200</v>
      </c>
      <c r="D68" s="5" t="s">
        <v>238</v>
      </c>
      <c r="E68" s="210">
        <v>12820</v>
      </c>
      <c r="F68" s="210">
        <v>0</v>
      </c>
      <c r="G68" s="210">
        <v>0</v>
      </c>
      <c r="H68" s="224"/>
      <c r="I68" s="6">
        <f t="shared" si="1"/>
        <v>0</v>
      </c>
      <c r="J68" s="210">
        <v>0</v>
      </c>
      <c r="K68" s="177" t="e">
        <f t="shared" si="5"/>
        <v>#DIV/0!</v>
      </c>
      <c r="M68" s="159"/>
    </row>
    <row r="69" spans="1:15" s="21" customFormat="1" x14ac:dyDescent="0.25">
      <c r="A69" s="5"/>
      <c r="B69" s="5"/>
      <c r="C69" s="5">
        <v>4200</v>
      </c>
      <c r="D69" s="5" t="s">
        <v>239</v>
      </c>
      <c r="E69" s="210">
        <v>6214</v>
      </c>
      <c r="F69" s="210">
        <v>0</v>
      </c>
      <c r="G69" s="210">
        <v>0</v>
      </c>
      <c r="H69" s="224"/>
      <c r="I69" s="6">
        <f t="shared" si="1"/>
        <v>0</v>
      </c>
      <c r="J69" s="210">
        <v>0</v>
      </c>
      <c r="K69" s="177" t="e">
        <f t="shared" si="5"/>
        <v>#DIV/0!</v>
      </c>
      <c r="M69" s="159"/>
    </row>
    <row r="70" spans="1:15" s="23" customFormat="1" x14ac:dyDescent="0.25">
      <c r="C70" s="23">
        <v>4200</v>
      </c>
      <c r="D70" s="23" t="s">
        <v>236</v>
      </c>
      <c r="E70" s="159">
        <v>22000</v>
      </c>
      <c r="F70" s="159">
        <v>0</v>
      </c>
      <c r="G70" s="159">
        <v>0</v>
      </c>
      <c r="H70" s="141"/>
      <c r="I70" s="159">
        <f t="shared" ref="I70:I72" si="6">J70-G70</f>
        <v>0</v>
      </c>
      <c r="J70" s="159">
        <v>0</v>
      </c>
      <c r="K70" s="176" t="e">
        <f t="shared" si="5"/>
        <v>#DIV/0!</v>
      </c>
      <c r="M70" s="159"/>
    </row>
    <row r="71" spans="1:15" s="21" customFormat="1" x14ac:dyDescent="0.25">
      <c r="C71" s="21">
        <v>4800</v>
      </c>
      <c r="D71" s="21" t="s">
        <v>195</v>
      </c>
      <c r="E71" s="159">
        <v>9600</v>
      </c>
      <c r="F71" s="159">
        <v>0</v>
      </c>
      <c r="G71" s="159">
        <v>0</v>
      </c>
      <c r="H71" s="141"/>
      <c r="I71" s="159">
        <f t="shared" si="6"/>
        <v>0</v>
      </c>
      <c r="J71" s="159">
        <v>0</v>
      </c>
      <c r="K71" s="176" t="e">
        <f t="shared" si="5"/>
        <v>#DIV/0!</v>
      </c>
      <c r="M71" s="159"/>
    </row>
    <row r="72" spans="1:15" s="21" customFormat="1" x14ac:dyDescent="0.25">
      <c r="C72" s="21">
        <v>4800</v>
      </c>
      <c r="D72" s="21" t="s">
        <v>237</v>
      </c>
      <c r="E72" s="159">
        <v>13860</v>
      </c>
      <c r="F72" s="159">
        <v>0</v>
      </c>
      <c r="G72" s="159">
        <v>0</v>
      </c>
      <c r="H72" s="141"/>
      <c r="I72" s="159">
        <f t="shared" si="6"/>
        <v>0</v>
      </c>
      <c r="J72" s="159">
        <v>0</v>
      </c>
      <c r="K72" s="176" t="e">
        <f t="shared" si="5"/>
        <v>#DIV/0!</v>
      </c>
      <c r="M72" s="159"/>
    </row>
    <row r="73" spans="1:15" ht="15.75" thickBot="1" x14ac:dyDescent="0.3">
      <c r="A73" s="14"/>
      <c r="B73" s="16"/>
      <c r="C73" s="16"/>
      <c r="D73" s="15" t="s">
        <v>23</v>
      </c>
      <c r="E73" s="17">
        <f>SUM(E52:E72)</f>
        <v>452536</v>
      </c>
      <c r="F73" s="17">
        <f>SUM(F52:F72)</f>
        <v>213168</v>
      </c>
      <c r="G73" s="17">
        <f>SUM(G52:G72)</f>
        <v>531683</v>
      </c>
      <c r="H73" s="42"/>
      <c r="I73" s="9">
        <f t="shared" si="1"/>
        <v>237218</v>
      </c>
      <c r="J73" s="9">
        <f>SUM(J52:J72)</f>
        <v>768901</v>
      </c>
      <c r="K73" s="181">
        <f>F73/J73</f>
        <v>0.27723725160976509</v>
      </c>
      <c r="M73" s="9">
        <f>SUM(M52:M63)</f>
        <v>369276</v>
      </c>
      <c r="O73" s="21"/>
    </row>
    <row r="74" spans="1:15" ht="16.5" thickTop="1" thickBot="1" x14ac:dyDescent="0.3">
      <c r="A74" s="27"/>
      <c r="B74" s="28"/>
      <c r="C74" s="28"/>
      <c r="D74" s="29" t="s">
        <v>28</v>
      </c>
      <c r="E74" s="30">
        <f>E73+E50+E16</f>
        <v>3967363</v>
      </c>
      <c r="F74" s="30">
        <f>F73+F50+F16</f>
        <v>2731634</v>
      </c>
      <c r="G74" s="30">
        <f>G73+G50+G16</f>
        <v>4131565</v>
      </c>
      <c r="H74" s="40"/>
      <c r="I74" s="30">
        <f t="shared" si="1"/>
        <v>89756</v>
      </c>
      <c r="J74" s="30">
        <f>J73+J50+J16</f>
        <v>4221321</v>
      </c>
      <c r="K74" s="181">
        <f>F74/J74</f>
        <v>0.6471040700292634</v>
      </c>
      <c r="M74" s="207">
        <f>M73+M50+M16</f>
        <v>3844910</v>
      </c>
    </row>
    <row r="75" spans="1:15" ht="15.75" thickTop="1" x14ac:dyDescent="0.25">
      <c r="A75" s="12"/>
      <c r="B75" s="31"/>
      <c r="C75" s="31"/>
      <c r="D75" s="32"/>
      <c r="E75" s="33"/>
      <c r="F75" s="33"/>
      <c r="G75" s="33"/>
      <c r="H75" s="39"/>
      <c r="I75" s="33"/>
      <c r="J75" s="33"/>
      <c r="K75" s="182"/>
      <c r="M75" s="33"/>
    </row>
    <row r="76" spans="1:15" ht="21" x14ac:dyDescent="0.35">
      <c r="A76" s="194" t="s">
        <v>78</v>
      </c>
      <c r="B76" s="195"/>
      <c r="C76" s="195"/>
      <c r="D76" s="195"/>
      <c r="E76" s="195"/>
      <c r="F76" s="195"/>
      <c r="G76" s="195"/>
      <c r="H76" s="195"/>
      <c r="I76" s="195"/>
      <c r="J76" s="195"/>
      <c r="K76" s="197"/>
      <c r="M76" s="206"/>
    </row>
    <row r="77" spans="1:15" x14ac:dyDescent="0.25">
      <c r="A77" s="7"/>
      <c r="B77" s="7">
        <v>100</v>
      </c>
      <c r="C77" s="7" t="s">
        <v>4</v>
      </c>
      <c r="D77" s="7"/>
      <c r="E77" s="13"/>
      <c r="F77" s="13"/>
      <c r="G77" s="13"/>
      <c r="H77" s="13"/>
      <c r="I77" s="13"/>
      <c r="J77" s="13"/>
      <c r="K77" s="183"/>
      <c r="M77" s="13"/>
    </row>
    <row r="78" spans="1:15" x14ac:dyDescent="0.25">
      <c r="A78" s="7"/>
      <c r="B78" s="7"/>
      <c r="C78" s="7">
        <v>121</v>
      </c>
      <c r="D78" s="7" t="s">
        <v>138</v>
      </c>
      <c r="E78" s="159">
        <v>227000</v>
      </c>
      <c r="F78" s="8">
        <v>122827</v>
      </c>
      <c r="G78" s="159">
        <v>192300</v>
      </c>
      <c r="H78" s="38"/>
      <c r="I78" s="8">
        <f t="shared" si="1"/>
        <v>-33525</v>
      </c>
      <c r="J78" s="159">
        <v>158775</v>
      </c>
      <c r="K78" s="176">
        <f>F78/J78</f>
        <v>0.77359156038419141</v>
      </c>
      <c r="L78" s="150"/>
      <c r="M78" s="159">
        <v>227000</v>
      </c>
    </row>
    <row r="79" spans="1:15" x14ac:dyDescent="0.25">
      <c r="A79" s="7"/>
      <c r="B79" s="7"/>
      <c r="C79" s="7">
        <v>131</v>
      </c>
      <c r="D79" s="7" t="s">
        <v>30</v>
      </c>
      <c r="E79" s="159">
        <v>1060099</v>
      </c>
      <c r="F79" s="8">
        <v>793474</v>
      </c>
      <c r="G79" s="159">
        <v>1088884</v>
      </c>
      <c r="H79" s="38"/>
      <c r="I79" s="8">
        <f t="shared" si="1"/>
        <v>-51400</v>
      </c>
      <c r="J79" s="159">
        <f>1088884-51400</f>
        <v>1037484</v>
      </c>
      <c r="K79" s="176">
        <f t="shared" ref="K79:K89" si="7">F79/J79</f>
        <v>0.76480601146620097</v>
      </c>
      <c r="L79" s="156"/>
      <c r="M79" s="159">
        <v>1060099</v>
      </c>
    </row>
    <row r="80" spans="1:15" s="21" customFormat="1" x14ac:dyDescent="0.25">
      <c r="A80" s="23"/>
      <c r="B80" s="23"/>
      <c r="C80" s="23">
        <v>132</v>
      </c>
      <c r="D80" s="23" t="s">
        <v>31</v>
      </c>
      <c r="E80" s="159">
        <v>18000</v>
      </c>
      <c r="F80" s="159">
        <v>19520</v>
      </c>
      <c r="G80" s="159">
        <v>18000</v>
      </c>
      <c r="H80" s="141"/>
      <c r="I80" s="159">
        <f t="shared" si="1"/>
        <v>6000</v>
      </c>
      <c r="J80" s="159">
        <v>24000</v>
      </c>
      <c r="K80" s="176">
        <f t="shared" si="7"/>
        <v>0.81333333333333335</v>
      </c>
      <c r="L80" s="161"/>
      <c r="M80" s="159">
        <v>18000</v>
      </c>
    </row>
    <row r="81" spans="1:14" x14ac:dyDescent="0.25">
      <c r="A81" s="22"/>
      <c r="B81" s="22"/>
      <c r="C81" s="22">
        <v>133</v>
      </c>
      <c r="D81" s="22" t="s">
        <v>144</v>
      </c>
      <c r="E81" s="6">
        <v>53300</v>
      </c>
      <c r="F81" s="6">
        <v>72625</v>
      </c>
      <c r="G81" s="6">
        <v>105200</v>
      </c>
      <c r="H81" s="38"/>
      <c r="I81" s="6">
        <f t="shared" si="1"/>
        <v>0</v>
      </c>
      <c r="J81" s="6">
        <v>105200</v>
      </c>
      <c r="K81" s="177">
        <f t="shared" si="7"/>
        <v>0.69035171102661597</v>
      </c>
      <c r="L81" s="134"/>
      <c r="M81" s="6">
        <v>53300</v>
      </c>
    </row>
    <row r="82" spans="1:14" x14ac:dyDescent="0.25">
      <c r="A82" s="22"/>
      <c r="B82" s="22"/>
      <c r="C82" s="22">
        <v>134</v>
      </c>
      <c r="D82" s="36" t="s">
        <v>135</v>
      </c>
      <c r="E82" s="6">
        <f>82175</f>
        <v>82175</v>
      </c>
      <c r="F82" s="6">
        <v>20980</v>
      </c>
      <c r="G82" s="6">
        <v>25000</v>
      </c>
      <c r="H82" s="38"/>
      <c r="I82" s="6">
        <f t="shared" si="1"/>
        <v>0</v>
      </c>
      <c r="J82" s="6">
        <v>25000</v>
      </c>
      <c r="K82" s="177">
        <f t="shared" si="7"/>
        <v>0.83919999999999995</v>
      </c>
      <c r="L82" s="204"/>
      <c r="M82" s="6"/>
    </row>
    <row r="83" spans="1:14" x14ac:dyDescent="0.25">
      <c r="A83" s="22"/>
      <c r="B83" s="22"/>
      <c r="C83" s="22">
        <v>135</v>
      </c>
      <c r="D83" s="22" t="s">
        <v>165</v>
      </c>
      <c r="E83" s="6">
        <v>24370</v>
      </c>
      <c r="F83" s="6">
        <v>20191</v>
      </c>
      <c r="G83" s="6">
        <v>25000</v>
      </c>
      <c r="H83" s="38"/>
      <c r="I83" s="6">
        <f t="shared" si="1"/>
        <v>0</v>
      </c>
      <c r="J83" s="6">
        <v>25000</v>
      </c>
      <c r="K83" s="177">
        <f t="shared" si="7"/>
        <v>0.80764000000000002</v>
      </c>
      <c r="L83" s="233"/>
      <c r="M83" s="6"/>
    </row>
    <row r="84" spans="1:14" s="21" customFormat="1" x14ac:dyDescent="0.25">
      <c r="A84" s="23"/>
      <c r="B84" s="23"/>
      <c r="C84" s="23">
        <v>142</v>
      </c>
      <c r="D84" s="23" t="s">
        <v>368</v>
      </c>
      <c r="E84" s="159">
        <v>51500</v>
      </c>
      <c r="F84" s="159">
        <v>69775</v>
      </c>
      <c r="G84" s="159">
        <v>53045</v>
      </c>
      <c r="H84" s="141"/>
      <c r="I84" s="159">
        <f t="shared" si="1"/>
        <v>51855</v>
      </c>
      <c r="J84" s="159">
        <f>53500+51400</f>
        <v>104900</v>
      </c>
      <c r="K84" s="176">
        <f t="shared" si="7"/>
        <v>0.66515729265967594</v>
      </c>
      <c r="L84" s="161"/>
      <c r="M84" s="159">
        <v>51500</v>
      </c>
    </row>
    <row r="85" spans="1:14" x14ac:dyDescent="0.25">
      <c r="A85" s="7"/>
      <c r="B85" s="7"/>
      <c r="C85" s="7">
        <v>152</v>
      </c>
      <c r="D85" s="7" t="s">
        <v>57</v>
      </c>
      <c r="E85" s="159">
        <v>73000</v>
      </c>
      <c r="F85" s="8">
        <v>67361</v>
      </c>
      <c r="G85" s="159">
        <v>75885</v>
      </c>
      <c r="H85" s="38"/>
      <c r="I85" s="8">
        <f t="shared" si="1"/>
        <v>12115</v>
      </c>
      <c r="J85" s="159">
        <v>88000</v>
      </c>
      <c r="K85" s="176">
        <f t="shared" si="7"/>
        <v>0.76546590909090906</v>
      </c>
      <c r="L85" s="134"/>
      <c r="M85" s="159">
        <v>71400</v>
      </c>
    </row>
    <row r="86" spans="1:14" s="21" customFormat="1" x14ac:dyDescent="0.25">
      <c r="A86" s="23"/>
      <c r="B86" s="23"/>
      <c r="C86" s="23">
        <v>161</v>
      </c>
      <c r="D86" s="23" t="s">
        <v>32</v>
      </c>
      <c r="E86" s="159">
        <v>149500</v>
      </c>
      <c r="F86" s="159">
        <f>132151+1800</f>
        <v>133951</v>
      </c>
      <c r="G86" s="159">
        <v>142560</v>
      </c>
      <c r="H86" s="141"/>
      <c r="I86" s="159">
        <f t="shared" si="1"/>
        <v>25440</v>
      </c>
      <c r="J86" s="159">
        <v>168000</v>
      </c>
      <c r="K86" s="176">
        <f t="shared" si="7"/>
        <v>0.79732738095238098</v>
      </c>
      <c r="L86" s="161"/>
      <c r="M86" s="159">
        <v>128790</v>
      </c>
    </row>
    <row r="87" spans="1:14" x14ac:dyDescent="0.25">
      <c r="A87" s="22"/>
      <c r="B87" s="22"/>
      <c r="C87" s="22">
        <v>162</v>
      </c>
      <c r="D87" s="36" t="s">
        <v>51</v>
      </c>
      <c r="E87" s="6">
        <v>59800</v>
      </c>
      <c r="F87" s="6">
        <v>51815</v>
      </c>
      <c r="G87" s="6">
        <v>111870</v>
      </c>
      <c r="H87" s="38"/>
      <c r="I87" s="6">
        <f t="shared" si="1"/>
        <v>-45870</v>
      </c>
      <c r="J87" s="6">
        <v>66000</v>
      </c>
      <c r="K87" s="177">
        <f t="shared" si="7"/>
        <v>0.78507575757575754</v>
      </c>
      <c r="L87" s="134"/>
      <c r="M87" s="6">
        <v>93235</v>
      </c>
    </row>
    <row r="88" spans="1:14" s="21" customFormat="1" x14ac:dyDescent="0.25">
      <c r="A88" s="5"/>
      <c r="B88" s="5"/>
      <c r="C88" s="5">
        <v>182</v>
      </c>
      <c r="D88" s="5" t="s">
        <v>134</v>
      </c>
      <c r="E88" s="6">
        <v>46000</v>
      </c>
      <c r="F88" s="6">
        <v>41147</v>
      </c>
      <c r="G88" s="6">
        <v>48800</v>
      </c>
      <c r="H88" s="141"/>
      <c r="I88" s="6">
        <f t="shared" si="1"/>
        <v>7200</v>
      </c>
      <c r="J88" s="6">
        <v>56000</v>
      </c>
      <c r="K88" s="177">
        <f t="shared" si="7"/>
        <v>0.73476785714285719</v>
      </c>
      <c r="L88" s="161"/>
      <c r="M88" s="6">
        <v>39360</v>
      </c>
    </row>
    <row r="89" spans="1:14" x14ac:dyDescent="0.25">
      <c r="A89" s="5"/>
      <c r="B89" s="5"/>
      <c r="C89" s="5">
        <v>191</v>
      </c>
      <c r="D89" s="5" t="s">
        <v>52</v>
      </c>
      <c r="E89" s="6">
        <v>72000</v>
      </c>
      <c r="F89" s="6">
        <v>63124</v>
      </c>
      <c r="G89" s="6">
        <v>85240</v>
      </c>
      <c r="H89" s="38"/>
      <c r="I89" s="6">
        <f t="shared" si="1"/>
        <v>0</v>
      </c>
      <c r="J89" s="6">
        <v>85240</v>
      </c>
      <c r="K89" s="177">
        <f t="shared" si="7"/>
        <v>0.74054434537775693</v>
      </c>
      <c r="L89" s="134"/>
      <c r="M89" s="159">
        <v>68546</v>
      </c>
    </row>
    <row r="90" spans="1:14" ht="15.75" thickBot="1" x14ac:dyDescent="0.3">
      <c r="A90" s="16"/>
      <c r="B90" s="16"/>
      <c r="C90" s="16"/>
      <c r="D90" s="15" t="s">
        <v>29</v>
      </c>
      <c r="E90" s="9">
        <f>SUM(E78:E89)</f>
        <v>1916744</v>
      </c>
      <c r="F90" s="9">
        <f>SUM(F78:F89)</f>
        <v>1476790</v>
      </c>
      <c r="G90" s="9">
        <f>SUM(G78:G89)</f>
        <v>1971784</v>
      </c>
      <c r="H90" s="40"/>
      <c r="I90" s="9">
        <f t="shared" si="1"/>
        <v>-28185</v>
      </c>
      <c r="J90" s="9">
        <f>SUM(J78:J89)</f>
        <v>1943599</v>
      </c>
      <c r="K90" s="180">
        <f>F90/J90</f>
        <v>0.75982237076680936</v>
      </c>
      <c r="L90" s="134"/>
      <c r="M90" s="9">
        <f>SUM(M78:M89)</f>
        <v>1811230</v>
      </c>
      <c r="N90" s="149"/>
    </row>
    <row r="91" spans="1:14" ht="15.75" thickTop="1" x14ac:dyDescent="0.25">
      <c r="A91" s="7"/>
      <c r="B91" s="7">
        <v>200</v>
      </c>
      <c r="C91" s="7" t="s">
        <v>5</v>
      </c>
      <c r="D91" s="7"/>
      <c r="E91" s="13"/>
      <c r="F91" s="13"/>
      <c r="G91" s="13"/>
      <c r="H91" s="41"/>
      <c r="I91" s="13"/>
      <c r="J91" s="13"/>
      <c r="K91" s="179"/>
      <c r="M91" s="13"/>
    </row>
    <row r="92" spans="1:14" x14ac:dyDescent="0.25">
      <c r="A92" s="7"/>
      <c r="B92" s="7"/>
      <c r="C92" s="7">
        <v>220</v>
      </c>
      <c r="D92" s="7" t="s">
        <v>35</v>
      </c>
      <c r="E92" s="159">
        <f>E90*0.0765</f>
        <v>146630.916</v>
      </c>
      <c r="F92" s="8">
        <v>106245</v>
      </c>
      <c r="G92" s="159">
        <v>150841</v>
      </c>
      <c r="H92" s="38"/>
      <c r="I92" s="8">
        <f t="shared" ref="I92:I157" si="8">J92-G92</f>
        <v>0</v>
      </c>
      <c r="J92" s="159">
        <v>150841</v>
      </c>
      <c r="K92" s="176">
        <f t="shared" ref="K92:K98" si="9">F92/J92</f>
        <v>0.70435093906829049</v>
      </c>
      <c r="M92" s="159">
        <v>136964</v>
      </c>
    </row>
    <row r="93" spans="1:14" x14ac:dyDescent="0.25">
      <c r="A93" s="7"/>
      <c r="B93" s="7"/>
      <c r="C93" s="7">
        <v>230</v>
      </c>
      <c r="D93" s="7" t="s">
        <v>34</v>
      </c>
      <c r="E93" s="159">
        <v>88667</v>
      </c>
      <c r="F93" s="8">
        <v>75696</v>
      </c>
      <c r="G93" s="159">
        <v>95000</v>
      </c>
      <c r="H93" s="38"/>
      <c r="I93" s="8">
        <f t="shared" ref="I93" si="10">J93-G93</f>
        <v>10000</v>
      </c>
      <c r="J93" s="159">
        <v>105000</v>
      </c>
      <c r="K93" s="176">
        <f>F93/J93</f>
        <v>0.72091428571428573</v>
      </c>
      <c r="M93" s="159">
        <v>88667</v>
      </c>
    </row>
    <row r="94" spans="1:14" x14ac:dyDescent="0.25">
      <c r="A94" s="12"/>
      <c r="B94" s="12"/>
      <c r="C94" s="12">
        <v>240</v>
      </c>
      <c r="D94" s="12" t="s">
        <v>162</v>
      </c>
      <c r="E94" s="159">
        <v>270000</v>
      </c>
      <c r="F94" s="8">
        <f>166753+16749+1749</f>
        <v>185251</v>
      </c>
      <c r="G94" s="159">
        <v>283500</v>
      </c>
      <c r="H94" s="38"/>
      <c r="I94" s="8">
        <f t="shared" si="8"/>
        <v>0</v>
      </c>
      <c r="J94" s="159">
        <v>283500</v>
      </c>
      <c r="K94" s="176">
        <f t="shared" si="9"/>
        <v>0.65344268077601408</v>
      </c>
      <c r="M94" s="159">
        <v>260000</v>
      </c>
    </row>
    <row r="95" spans="1:14" x14ac:dyDescent="0.25">
      <c r="A95" s="22"/>
      <c r="B95" s="22"/>
      <c r="C95" s="22">
        <v>243</v>
      </c>
      <c r="D95" s="22" t="s">
        <v>60</v>
      </c>
      <c r="E95" s="6">
        <v>2600</v>
      </c>
      <c r="F95" s="6">
        <v>3028</v>
      </c>
      <c r="G95" s="6">
        <v>2600</v>
      </c>
      <c r="H95" s="38"/>
      <c r="I95" s="6">
        <f t="shared" si="8"/>
        <v>1000</v>
      </c>
      <c r="J95" s="6">
        <v>3600</v>
      </c>
      <c r="K95" s="177">
        <f t="shared" si="9"/>
        <v>0.84111111111111114</v>
      </c>
      <c r="M95" s="6">
        <v>2600</v>
      </c>
    </row>
    <row r="96" spans="1:14" x14ac:dyDescent="0.25">
      <c r="A96" s="22"/>
      <c r="B96" s="22"/>
      <c r="C96" s="22">
        <v>244</v>
      </c>
      <c r="D96" s="22" t="s">
        <v>262</v>
      </c>
      <c r="E96" s="6">
        <v>8600</v>
      </c>
      <c r="F96" s="6">
        <v>9000</v>
      </c>
      <c r="G96" s="6">
        <v>8600</v>
      </c>
      <c r="H96" s="38"/>
      <c r="I96" s="6">
        <f t="shared" si="8"/>
        <v>3000</v>
      </c>
      <c r="J96" s="6">
        <v>11600</v>
      </c>
      <c r="K96" s="177">
        <f t="shared" si="9"/>
        <v>0.77586206896551724</v>
      </c>
      <c r="M96" s="6">
        <v>16800</v>
      </c>
    </row>
    <row r="97" spans="1:18" x14ac:dyDescent="0.25">
      <c r="A97" s="22"/>
      <c r="B97" s="22"/>
      <c r="C97" s="22">
        <v>270</v>
      </c>
      <c r="D97" s="36" t="s">
        <v>36</v>
      </c>
      <c r="E97" s="6">
        <v>5242</v>
      </c>
      <c r="F97" s="6">
        <v>3632</v>
      </c>
      <c r="G97" s="6">
        <v>5000</v>
      </c>
      <c r="H97" s="38"/>
      <c r="I97" s="6">
        <f t="shared" si="8"/>
        <v>0</v>
      </c>
      <c r="J97" s="6">
        <v>5000</v>
      </c>
      <c r="K97" s="177">
        <f t="shared" si="9"/>
        <v>0.72640000000000005</v>
      </c>
      <c r="M97" s="6">
        <v>5000</v>
      </c>
    </row>
    <row r="98" spans="1:18" x14ac:dyDescent="0.25">
      <c r="A98" s="7"/>
      <c r="B98" s="7"/>
      <c r="C98" s="7">
        <v>280</v>
      </c>
      <c r="D98" s="7" t="s">
        <v>37</v>
      </c>
      <c r="E98" s="159">
        <v>6000</v>
      </c>
      <c r="F98" s="8">
        <v>2656</v>
      </c>
      <c r="G98" s="159">
        <v>4000</v>
      </c>
      <c r="H98" s="38"/>
      <c r="I98" s="8">
        <f t="shared" si="8"/>
        <v>0</v>
      </c>
      <c r="J98" s="159">
        <v>4000</v>
      </c>
      <c r="K98" s="176">
        <f t="shared" si="9"/>
        <v>0.66400000000000003</v>
      </c>
      <c r="M98" s="159">
        <v>10000</v>
      </c>
    </row>
    <row r="99" spans="1:18" ht="15.75" thickBot="1" x14ac:dyDescent="0.3">
      <c r="A99" s="16"/>
      <c r="B99" s="16"/>
      <c r="C99" s="16"/>
      <c r="D99" s="15" t="s">
        <v>33</v>
      </c>
      <c r="E99" s="9">
        <f>SUM(E92:E98)</f>
        <v>527739.91599999997</v>
      </c>
      <c r="F99" s="9">
        <f>SUM(F92:F98)</f>
        <v>385508</v>
      </c>
      <c r="G99" s="9">
        <f>SUM(G92:G98)</f>
        <v>549541</v>
      </c>
      <c r="H99" s="40"/>
      <c r="I99" s="9">
        <f t="shared" si="8"/>
        <v>14000</v>
      </c>
      <c r="J99" s="9">
        <f>SUM(J92:J98)</f>
        <v>563541</v>
      </c>
      <c r="K99" s="180">
        <f>F99/J99</f>
        <v>0.68408154863621284</v>
      </c>
      <c r="M99" s="9">
        <f>SUM(M92:M98)</f>
        <v>520031</v>
      </c>
    </row>
    <row r="100" spans="1:18" ht="15.75" thickTop="1" x14ac:dyDescent="0.25">
      <c r="A100" s="7"/>
      <c r="B100" s="7">
        <v>300</v>
      </c>
      <c r="C100" s="7" t="s">
        <v>6</v>
      </c>
      <c r="D100" s="7"/>
      <c r="E100" s="13"/>
      <c r="F100" s="13"/>
      <c r="G100" s="13"/>
      <c r="H100" s="41"/>
      <c r="I100" s="13"/>
      <c r="J100" s="13"/>
      <c r="K100" s="179"/>
      <c r="M100" s="13"/>
    </row>
    <row r="101" spans="1:18" x14ac:dyDescent="0.25">
      <c r="A101" s="7"/>
      <c r="B101" s="7"/>
      <c r="C101" s="7">
        <v>320</v>
      </c>
      <c r="D101" s="21" t="s">
        <v>160</v>
      </c>
      <c r="E101" s="159">
        <v>107792</v>
      </c>
      <c r="F101" s="8">
        <v>23649</v>
      </c>
      <c r="G101" s="159">
        <v>25000</v>
      </c>
      <c r="H101" s="41"/>
      <c r="I101" s="8">
        <f t="shared" si="8"/>
        <v>8784</v>
      </c>
      <c r="J101" s="159">
        <v>33784</v>
      </c>
      <c r="K101" s="176">
        <f>F101/J101</f>
        <v>0.70000591996211226</v>
      </c>
      <c r="M101" s="159">
        <v>107792</v>
      </c>
      <c r="O101" s="204"/>
    </row>
    <row r="102" spans="1:18" x14ac:dyDescent="0.25">
      <c r="A102" s="7"/>
      <c r="B102" s="7"/>
      <c r="C102" s="7">
        <v>323</v>
      </c>
      <c r="D102" s="7" t="s">
        <v>157</v>
      </c>
      <c r="E102" s="159">
        <v>45000</v>
      </c>
      <c r="F102" s="8">
        <f>16469+38557</f>
        <v>55026</v>
      </c>
      <c r="G102" s="159">
        <v>45000</v>
      </c>
      <c r="H102" s="38"/>
      <c r="I102" s="8">
        <f t="shared" si="8"/>
        <v>25000</v>
      </c>
      <c r="J102" s="159">
        <v>70000</v>
      </c>
      <c r="K102" s="176">
        <f t="shared" ref="K102:K109" si="11">F102/J102</f>
        <v>0.78608571428571428</v>
      </c>
      <c r="M102" s="159">
        <v>45000</v>
      </c>
    </row>
    <row r="103" spans="1:18" s="21" customFormat="1" x14ac:dyDescent="0.25">
      <c r="C103" s="21">
        <v>323</v>
      </c>
      <c r="D103" s="21" t="s">
        <v>263</v>
      </c>
      <c r="E103" s="159">
        <v>30000</v>
      </c>
      <c r="F103" s="159">
        <v>14805</v>
      </c>
      <c r="G103" s="159">
        <v>30000</v>
      </c>
      <c r="H103" s="141"/>
      <c r="I103" s="8">
        <f t="shared" si="8"/>
        <v>6000</v>
      </c>
      <c r="J103" s="159">
        <v>36000</v>
      </c>
      <c r="K103" s="176">
        <f t="shared" si="11"/>
        <v>0.41125</v>
      </c>
      <c r="M103" s="159"/>
    </row>
    <row r="104" spans="1:18" s="21" customFormat="1" x14ac:dyDescent="0.25">
      <c r="A104" s="22"/>
      <c r="B104" s="22"/>
      <c r="C104" s="22">
        <v>330</v>
      </c>
      <c r="D104" s="22" t="s">
        <v>62</v>
      </c>
      <c r="E104" s="6">
        <v>27500</v>
      </c>
      <c r="F104" s="6">
        <v>10451</v>
      </c>
      <c r="G104" s="6">
        <v>25000</v>
      </c>
      <c r="H104" s="141"/>
      <c r="I104" s="6">
        <f t="shared" si="8"/>
        <v>0</v>
      </c>
      <c r="J104" s="6">
        <v>25000</v>
      </c>
      <c r="K104" s="177">
        <f t="shared" si="11"/>
        <v>0.41804000000000002</v>
      </c>
      <c r="M104" s="159">
        <v>25000</v>
      </c>
    </row>
    <row r="105" spans="1:18" s="21" customFormat="1" x14ac:dyDescent="0.25">
      <c r="A105" s="22"/>
      <c r="B105" s="22"/>
      <c r="C105" s="22">
        <v>330</v>
      </c>
      <c r="D105" s="22" t="s">
        <v>53</v>
      </c>
      <c r="E105" s="6">
        <v>35050</v>
      </c>
      <c r="F105" s="6">
        <v>27900</v>
      </c>
      <c r="G105" s="6">
        <v>36619</v>
      </c>
      <c r="H105" s="141"/>
      <c r="I105" s="6">
        <f t="shared" si="8"/>
        <v>0</v>
      </c>
      <c r="J105" s="6">
        <v>36619</v>
      </c>
      <c r="K105" s="177">
        <f t="shared" si="11"/>
        <v>0.7618995603375297</v>
      </c>
      <c r="M105" s="6">
        <v>35050</v>
      </c>
      <c r="O105"/>
      <c r="P105"/>
      <c r="Q105"/>
      <c r="R105"/>
    </row>
    <row r="106" spans="1:18" x14ac:dyDescent="0.25">
      <c r="A106" s="22"/>
      <c r="B106" s="22"/>
      <c r="C106" s="22">
        <v>345</v>
      </c>
      <c r="D106" s="22" t="s">
        <v>74</v>
      </c>
      <c r="E106" s="6">
        <v>3000</v>
      </c>
      <c r="F106" s="6">
        <v>193</v>
      </c>
      <c r="G106" s="6">
        <v>10000</v>
      </c>
      <c r="H106" s="38"/>
      <c r="I106" s="6">
        <f t="shared" si="8"/>
        <v>0</v>
      </c>
      <c r="J106" s="6">
        <v>10000</v>
      </c>
      <c r="K106" s="177">
        <f t="shared" si="11"/>
        <v>1.9300000000000001E-2</v>
      </c>
      <c r="M106" s="6">
        <v>10000</v>
      </c>
      <c r="O106" s="21"/>
      <c r="P106" s="21"/>
      <c r="Q106" s="21"/>
      <c r="R106" s="21"/>
    </row>
    <row r="107" spans="1:18" s="21" customFormat="1" x14ac:dyDescent="0.25">
      <c r="A107" s="23"/>
      <c r="B107" s="23"/>
      <c r="C107" s="23">
        <v>350</v>
      </c>
      <c r="D107" s="168" t="s">
        <v>86</v>
      </c>
      <c r="E107" s="159">
        <v>69600</v>
      </c>
      <c r="F107" s="159">
        <v>52200</v>
      </c>
      <c r="G107" s="159">
        <v>70992</v>
      </c>
      <c r="H107" s="141"/>
      <c r="I107" s="159">
        <f t="shared" si="8"/>
        <v>0</v>
      </c>
      <c r="J107" s="159">
        <v>70992</v>
      </c>
      <c r="K107" s="176">
        <f t="shared" si="11"/>
        <v>0.73529411764705888</v>
      </c>
      <c r="M107" s="159">
        <v>69600</v>
      </c>
    </row>
    <row r="108" spans="1:18" x14ac:dyDescent="0.25">
      <c r="A108" s="7"/>
      <c r="B108" s="7"/>
      <c r="C108" s="7">
        <v>352</v>
      </c>
      <c r="D108" s="7" t="s">
        <v>61</v>
      </c>
      <c r="E108" s="159">
        <v>10750</v>
      </c>
      <c r="F108" s="8">
        <v>13200</v>
      </c>
      <c r="G108" s="159">
        <v>11000</v>
      </c>
      <c r="H108" s="38"/>
      <c r="I108" s="8">
        <f t="shared" si="8"/>
        <v>2200</v>
      </c>
      <c r="J108" s="159">
        <v>13200</v>
      </c>
      <c r="K108" s="176">
        <f t="shared" si="11"/>
        <v>1</v>
      </c>
      <c r="M108" s="159">
        <v>11000</v>
      </c>
    </row>
    <row r="109" spans="1:18" x14ac:dyDescent="0.25">
      <c r="A109" s="12"/>
      <c r="B109" s="12"/>
      <c r="C109" s="12">
        <v>355</v>
      </c>
      <c r="D109" s="12" t="s">
        <v>40</v>
      </c>
      <c r="E109" s="159">
        <v>23000</v>
      </c>
      <c r="F109" s="8">
        <v>14874</v>
      </c>
      <c r="G109" s="159">
        <v>23000</v>
      </c>
      <c r="H109" s="38"/>
      <c r="I109" s="8">
        <f t="shared" si="8"/>
        <v>0</v>
      </c>
      <c r="J109" s="159">
        <v>23000</v>
      </c>
      <c r="K109" s="176">
        <f t="shared" si="11"/>
        <v>0.646695652173913</v>
      </c>
      <c r="M109" s="159">
        <v>20000</v>
      </c>
    </row>
    <row r="110" spans="1:18" ht="15.75" thickBot="1" x14ac:dyDescent="0.3">
      <c r="A110" s="16"/>
      <c r="B110" s="16"/>
      <c r="C110" s="16"/>
      <c r="D110" s="15" t="s">
        <v>38</v>
      </c>
      <c r="E110" s="9">
        <f>SUM(E101:E109)</f>
        <v>351692</v>
      </c>
      <c r="F110" s="9">
        <f>SUM(F101:F109)</f>
        <v>212298</v>
      </c>
      <c r="G110" s="9">
        <f>SUM(G101:G109)</f>
        <v>276611</v>
      </c>
      <c r="H110" s="40"/>
      <c r="I110" s="9">
        <f t="shared" si="8"/>
        <v>41984</v>
      </c>
      <c r="J110" s="9">
        <f>SUM(J101:J109)</f>
        <v>318595</v>
      </c>
      <c r="K110" s="180">
        <f>F110/J110</f>
        <v>0.66635697358715607</v>
      </c>
      <c r="M110" s="9">
        <f>SUM(M101:M109)</f>
        <v>323442</v>
      </c>
    </row>
    <row r="111" spans="1:18" ht="15.75" thickTop="1" x14ac:dyDescent="0.25">
      <c r="A111" s="7"/>
      <c r="B111" s="7">
        <v>400</v>
      </c>
      <c r="C111" s="7" t="s">
        <v>7</v>
      </c>
      <c r="D111" s="7"/>
      <c r="E111" s="13"/>
      <c r="F111" s="13"/>
      <c r="G111" s="13"/>
      <c r="H111" s="41"/>
      <c r="I111" s="13"/>
      <c r="J111" s="13"/>
      <c r="K111" s="179"/>
      <c r="M111" s="13"/>
    </row>
    <row r="112" spans="1:18" x14ac:dyDescent="0.25">
      <c r="A112" s="7"/>
      <c r="B112" s="7"/>
      <c r="C112" s="7">
        <v>411</v>
      </c>
      <c r="D112" s="7" t="s">
        <v>63</v>
      </c>
      <c r="E112" s="8">
        <v>15200</v>
      </c>
      <c r="F112" s="8">
        <v>12318</v>
      </c>
      <c r="G112" s="8">
        <v>15200</v>
      </c>
      <c r="H112" s="38"/>
      <c r="I112" s="8">
        <f t="shared" si="8"/>
        <v>600</v>
      </c>
      <c r="J112" s="8">
        <v>15800</v>
      </c>
      <c r="K112" s="176">
        <f>F112/J112</f>
        <v>0.77962025316455696</v>
      </c>
      <c r="M112" s="8">
        <v>13000</v>
      </c>
    </row>
    <row r="113" spans="1:18" x14ac:dyDescent="0.25">
      <c r="A113" s="7"/>
      <c r="B113" s="7"/>
      <c r="C113" s="7">
        <v>420</v>
      </c>
      <c r="D113" s="7" t="s">
        <v>149</v>
      </c>
      <c r="E113" s="159">
        <v>3827</v>
      </c>
      <c r="F113" s="8">
        <v>2865</v>
      </c>
      <c r="G113" s="159">
        <v>7000</v>
      </c>
      <c r="H113" s="38"/>
      <c r="I113" s="8">
        <f t="shared" si="8"/>
        <v>0</v>
      </c>
      <c r="J113" s="159">
        <v>7000</v>
      </c>
      <c r="K113" s="176">
        <f t="shared" ref="K113:K116" si="12">F113/J113</f>
        <v>0.40928571428571431</v>
      </c>
      <c r="M113" s="159">
        <v>0</v>
      </c>
    </row>
    <row r="114" spans="1:18" x14ac:dyDescent="0.25">
      <c r="A114" s="7"/>
      <c r="B114" s="7"/>
      <c r="C114" s="7">
        <v>431</v>
      </c>
      <c r="D114" s="7" t="s">
        <v>64</v>
      </c>
      <c r="E114" s="159">
        <v>15000</v>
      </c>
      <c r="F114" s="8">
        <v>22239</v>
      </c>
      <c r="G114" s="159">
        <v>15000</v>
      </c>
      <c r="H114" s="38"/>
      <c r="I114" s="8">
        <f t="shared" si="8"/>
        <v>14000</v>
      </c>
      <c r="J114" s="159">
        <v>29000</v>
      </c>
      <c r="K114" s="176">
        <f t="shared" si="12"/>
        <v>0.76686206896551723</v>
      </c>
      <c r="L114" s="21"/>
      <c r="M114" s="159">
        <v>15000</v>
      </c>
    </row>
    <row r="115" spans="1:18" x14ac:dyDescent="0.25">
      <c r="A115" s="22"/>
      <c r="B115" s="22"/>
      <c r="C115" s="22">
        <v>435</v>
      </c>
      <c r="D115" s="22" t="s">
        <v>65</v>
      </c>
      <c r="E115" s="6">
        <v>14000</v>
      </c>
      <c r="F115" s="6">
        <v>8441</v>
      </c>
      <c r="G115" s="6">
        <v>14000</v>
      </c>
      <c r="H115" s="38"/>
      <c r="I115" s="6">
        <f t="shared" si="8"/>
        <v>0</v>
      </c>
      <c r="J115" s="6">
        <v>14000</v>
      </c>
      <c r="K115" s="177">
        <f t="shared" si="12"/>
        <v>0.60292857142857148</v>
      </c>
      <c r="M115" s="6">
        <v>14000</v>
      </c>
    </row>
    <row r="116" spans="1:18" x14ac:dyDescent="0.25">
      <c r="A116" s="22"/>
      <c r="B116" s="22"/>
      <c r="C116" s="22">
        <v>443</v>
      </c>
      <c r="D116" s="22" t="s">
        <v>54</v>
      </c>
      <c r="E116" s="6">
        <v>12000</v>
      </c>
      <c r="F116" s="6">
        <v>9587</v>
      </c>
      <c r="G116" s="6">
        <v>12000</v>
      </c>
      <c r="H116" s="38"/>
      <c r="I116" s="6">
        <f t="shared" si="8"/>
        <v>0</v>
      </c>
      <c r="J116" s="6">
        <v>12000</v>
      </c>
      <c r="K116" s="177">
        <f t="shared" si="12"/>
        <v>0.79891666666666672</v>
      </c>
      <c r="M116" s="6">
        <v>12000</v>
      </c>
    </row>
    <row r="117" spans="1:18" ht="15" customHeight="1" thickBot="1" x14ac:dyDescent="0.3">
      <c r="A117" s="16"/>
      <c r="B117" s="16"/>
      <c r="C117" s="16"/>
      <c r="D117" s="15" t="s">
        <v>41</v>
      </c>
      <c r="E117" s="9">
        <f>SUM(E112:E116)</f>
        <v>60027</v>
      </c>
      <c r="F117" s="9">
        <f>SUM(F112:F116)</f>
        <v>55450</v>
      </c>
      <c r="G117" s="9">
        <f>SUM(G112:G116)</f>
        <v>63200</v>
      </c>
      <c r="H117" s="40"/>
      <c r="I117" s="9">
        <f t="shared" si="8"/>
        <v>14600</v>
      </c>
      <c r="J117" s="9">
        <f>SUM(J112:J116)</f>
        <v>77800</v>
      </c>
      <c r="K117" s="180">
        <f>F117/J117</f>
        <v>0.71272493573264784</v>
      </c>
      <c r="L117" s="149"/>
      <c r="M117" s="9">
        <f>SUM(M112:M116)</f>
        <v>54000</v>
      </c>
    </row>
    <row r="118" spans="1:18" ht="15.75" thickTop="1" x14ac:dyDescent="0.25">
      <c r="A118" s="7"/>
      <c r="B118" s="7">
        <v>500</v>
      </c>
      <c r="C118" s="7" t="s">
        <v>66</v>
      </c>
      <c r="D118" s="7"/>
      <c r="E118" s="13"/>
      <c r="F118" s="13"/>
      <c r="G118" s="13"/>
      <c r="H118" s="41"/>
      <c r="I118" s="13"/>
      <c r="J118" s="13"/>
      <c r="K118" s="179"/>
      <c r="M118" s="13"/>
    </row>
    <row r="119" spans="1:18" x14ac:dyDescent="0.25">
      <c r="A119" s="7"/>
      <c r="B119" s="7"/>
      <c r="C119" s="7">
        <v>520</v>
      </c>
      <c r="D119" s="7" t="s">
        <v>87</v>
      </c>
      <c r="E119" s="8">
        <v>19220</v>
      </c>
      <c r="F119" s="8">
        <v>21594</v>
      </c>
      <c r="G119" s="8">
        <v>19500</v>
      </c>
      <c r="H119" s="38"/>
      <c r="I119" s="8">
        <f t="shared" si="8"/>
        <v>2094</v>
      </c>
      <c r="J119" s="8">
        <v>21594</v>
      </c>
      <c r="K119" s="176">
        <f>F119/J119</f>
        <v>1</v>
      </c>
      <c r="M119" s="8">
        <v>17000</v>
      </c>
    </row>
    <row r="120" spans="1:18" x14ac:dyDescent="0.25">
      <c r="A120" s="7"/>
      <c r="B120" s="7"/>
      <c r="C120" s="7">
        <v>531</v>
      </c>
      <c r="D120" s="7" t="s">
        <v>150</v>
      </c>
      <c r="E120" s="159">
        <v>3021</v>
      </c>
      <c r="F120" s="8">
        <v>2695</v>
      </c>
      <c r="G120" s="159">
        <v>3000</v>
      </c>
      <c r="H120" s="38"/>
      <c r="I120" s="8">
        <f t="shared" si="8"/>
        <v>500</v>
      </c>
      <c r="J120" s="159">
        <v>3500</v>
      </c>
      <c r="K120" s="176">
        <f t="shared" ref="K120:K126" si="13">F120/J120</f>
        <v>0.77</v>
      </c>
      <c r="M120" s="8">
        <v>2500</v>
      </c>
    </row>
    <row r="121" spans="1:18" x14ac:dyDescent="0.25">
      <c r="A121" s="7"/>
      <c r="B121" s="7"/>
      <c r="C121" s="7">
        <v>532</v>
      </c>
      <c r="D121" s="7" t="s">
        <v>243</v>
      </c>
      <c r="E121" s="159">
        <v>9600</v>
      </c>
      <c r="F121" s="8">
        <v>0</v>
      </c>
      <c r="G121" s="159">
        <v>0</v>
      </c>
      <c r="H121" s="38"/>
      <c r="I121" s="8">
        <f t="shared" si="8"/>
        <v>0</v>
      </c>
      <c r="J121" s="159">
        <v>0</v>
      </c>
      <c r="K121" s="176" t="e">
        <f t="shared" si="13"/>
        <v>#DIV/0!</v>
      </c>
      <c r="M121" s="8"/>
    </row>
    <row r="122" spans="1:18" s="21" customFormat="1" x14ac:dyDescent="0.25">
      <c r="A122" s="22"/>
      <c r="B122" s="22"/>
      <c r="C122" s="22">
        <v>540</v>
      </c>
      <c r="D122" s="22" t="s">
        <v>76</v>
      </c>
      <c r="E122" s="6">
        <v>11300</v>
      </c>
      <c r="F122" s="6">
        <v>10999</v>
      </c>
      <c r="G122" s="6">
        <v>10000</v>
      </c>
      <c r="H122" s="141"/>
      <c r="I122" s="6">
        <f t="shared" si="8"/>
        <v>999</v>
      </c>
      <c r="J122" s="6">
        <v>10999</v>
      </c>
      <c r="K122" s="177">
        <f t="shared" si="13"/>
        <v>1</v>
      </c>
      <c r="M122" s="159">
        <v>10000</v>
      </c>
      <c r="O122"/>
      <c r="P122"/>
      <c r="Q122"/>
      <c r="R122"/>
    </row>
    <row r="123" spans="1:18" s="21" customFormat="1" x14ac:dyDescent="0.25">
      <c r="A123" s="22"/>
      <c r="B123" s="22"/>
      <c r="C123" s="22">
        <v>541</v>
      </c>
      <c r="D123" s="22" t="s">
        <v>211</v>
      </c>
      <c r="E123" s="6">
        <v>10737</v>
      </c>
      <c r="F123" s="6">
        <v>11304</v>
      </c>
      <c r="G123" s="6">
        <v>11000</v>
      </c>
      <c r="H123" s="141"/>
      <c r="I123" s="6">
        <f t="shared" si="8"/>
        <v>304</v>
      </c>
      <c r="J123" s="6">
        <v>11304</v>
      </c>
      <c r="K123" s="177">
        <f t="shared" si="13"/>
        <v>1</v>
      </c>
      <c r="M123" s="159"/>
      <c r="O123"/>
      <c r="P123"/>
      <c r="Q123"/>
      <c r="R123"/>
    </row>
    <row r="124" spans="1:18" x14ac:dyDescent="0.25">
      <c r="A124" s="22"/>
      <c r="B124" s="22"/>
      <c r="C124" s="22">
        <v>542</v>
      </c>
      <c r="D124" s="22" t="s">
        <v>39</v>
      </c>
      <c r="E124" s="6">
        <v>250</v>
      </c>
      <c r="F124" s="6">
        <v>381</v>
      </c>
      <c r="G124" s="6">
        <v>1000</v>
      </c>
      <c r="H124" s="38"/>
      <c r="I124" s="6">
        <f t="shared" si="8"/>
        <v>0</v>
      </c>
      <c r="J124" s="6">
        <v>1000</v>
      </c>
      <c r="K124" s="177">
        <f t="shared" si="13"/>
        <v>0.38100000000000001</v>
      </c>
      <c r="L124" s="7"/>
      <c r="M124" s="6">
        <v>1000</v>
      </c>
      <c r="O124" s="21"/>
      <c r="P124" s="21"/>
      <c r="Q124" s="21"/>
      <c r="R124" s="21"/>
    </row>
    <row r="125" spans="1:18" s="21" customFormat="1" x14ac:dyDescent="0.25">
      <c r="A125" s="23"/>
      <c r="B125" s="23"/>
      <c r="C125" s="23">
        <v>580</v>
      </c>
      <c r="D125" s="168" t="s">
        <v>67</v>
      </c>
      <c r="E125" s="159">
        <v>0</v>
      </c>
      <c r="F125" s="159">
        <v>0</v>
      </c>
      <c r="G125" s="159">
        <v>15000</v>
      </c>
      <c r="H125" s="141"/>
      <c r="I125" s="159">
        <f t="shared" si="8"/>
        <v>-15000</v>
      </c>
      <c r="J125" s="159">
        <v>0</v>
      </c>
      <c r="K125" s="176" t="e">
        <f t="shared" si="13"/>
        <v>#DIV/0!</v>
      </c>
      <c r="M125" s="159">
        <v>15000</v>
      </c>
    </row>
    <row r="126" spans="1:18" s="21" customFormat="1" x14ac:dyDescent="0.25">
      <c r="C126" s="21">
        <v>585</v>
      </c>
      <c r="D126" s="21" t="s">
        <v>68</v>
      </c>
      <c r="E126" s="159">
        <v>280</v>
      </c>
      <c r="F126" s="159">
        <v>5972</v>
      </c>
      <c r="G126" s="159">
        <v>15000</v>
      </c>
      <c r="H126" s="141"/>
      <c r="I126" s="159">
        <f t="shared" si="8"/>
        <v>0</v>
      </c>
      <c r="J126" s="159">
        <v>15000</v>
      </c>
      <c r="K126" s="176">
        <f t="shared" si="13"/>
        <v>0.39813333333333334</v>
      </c>
      <c r="M126" s="159">
        <v>15000</v>
      </c>
    </row>
    <row r="127" spans="1:18" ht="15.75" thickBot="1" x14ac:dyDescent="0.3">
      <c r="A127" s="16"/>
      <c r="B127" s="16"/>
      <c r="C127" s="16"/>
      <c r="D127" s="15" t="s">
        <v>42</v>
      </c>
      <c r="E127" s="9">
        <f>SUM(E119:E126)</f>
        <v>54408</v>
      </c>
      <c r="F127" s="9">
        <f>SUM(F119:F126)</f>
        <v>52945</v>
      </c>
      <c r="G127" s="9">
        <f>SUM(G119:G126)</f>
        <v>74500</v>
      </c>
      <c r="H127" s="40"/>
      <c r="I127" s="9">
        <f t="shared" si="8"/>
        <v>-11103</v>
      </c>
      <c r="J127" s="9">
        <f>SUM(J119:J126)</f>
        <v>63397</v>
      </c>
      <c r="K127" s="180">
        <f>F127/J127</f>
        <v>0.83513415461299434</v>
      </c>
      <c r="M127" s="9">
        <f>SUM(M119:M126)</f>
        <v>60500</v>
      </c>
    </row>
    <row r="128" spans="1:18" ht="15.75" thickTop="1" x14ac:dyDescent="0.25">
      <c r="A128" s="7"/>
      <c r="B128" s="7">
        <v>600</v>
      </c>
      <c r="C128" s="7" t="s">
        <v>8</v>
      </c>
      <c r="D128" s="7"/>
      <c r="E128" s="13"/>
      <c r="F128" s="13"/>
      <c r="G128" s="13"/>
      <c r="H128" s="41"/>
      <c r="I128" s="13"/>
      <c r="J128" s="13"/>
      <c r="K128" s="179"/>
      <c r="M128" s="13"/>
    </row>
    <row r="129" spans="1:13" x14ac:dyDescent="0.25">
      <c r="A129" s="7"/>
      <c r="B129" s="7"/>
      <c r="C129" s="7">
        <v>611</v>
      </c>
      <c r="D129" s="7" t="s">
        <v>168</v>
      </c>
      <c r="E129" s="159">
        <v>40000</v>
      </c>
      <c r="F129" s="8">
        <v>29025</v>
      </c>
      <c r="G129" s="159">
        <v>32000</v>
      </c>
      <c r="H129" s="38"/>
      <c r="I129" s="8">
        <f t="shared" si="8"/>
        <v>0</v>
      </c>
      <c r="J129" s="159">
        <v>32000</v>
      </c>
      <c r="K129" s="176">
        <f>F129/J129</f>
        <v>0.90703124999999996</v>
      </c>
      <c r="M129" s="8">
        <v>25000</v>
      </c>
    </row>
    <row r="130" spans="1:13" x14ac:dyDescent="0.25">
      <c r="A130" s="7"/>
      <c r="B130" s="7"/>
      <c r="C130" s="7">
        <v>612</v>
      </c>
      <c r="D130" s="7" t="s">
        <v>44</v>
      </c>
      <c r="E130" s="8">
        <v>7000</v>
      </c>
      <c r="F130" s="8">
        <v>6870</v>
      </c>
      <c r="G130" s="8">
        <v>10000</v>
      </c>
      <c r="H130" s="38"/>
      <c r="I130" s="8">
        <f t="shared" si="8"/>
        <v>0</v>
      </c>
      <c r="J130" s="8">
        <v>10000</v>
      </c>
      <c r="K130" s="176">
        <f t="shared" ref="K130:K143" si="14">F130/J130</f>
        <v>0.68700000000000006</v>
      </c>
      <c r="M130" s="8">
        <v>10000</v>
      </c>
    </row>
    <row r="131" spans="1:13" s="21" customFormat="1" x14ac:dyDescent="0.25">
      <c r="A131" s="23"/>
      <c r="B131" s="23"/>
      <c r="C131" s="23">
        <v>613</v>
      </c>
      <c r="D131" s="23" t="s">
        <v>142</v>
      </c>
      <c r="E131" s="159">
        <v>1111</v>
      </c>
      <c r="F131" s="159">
        <v>658</v>
      </c>
      <c r="G131" s="159">
        <v>1000</v>
      </c>
      <c r="H131" s="141"/>
      <c r="I131" s="159">
        <f t="shared" si="8"/>
        <v>0</v>
      </c>
      <c r="J131" s="159">
        <v>1000</v>
      </c>
      <c r="K131" s="176">
        <f t="shared" si="14"/>
        <v>0.65800000000000003</v>
      </c>
      <c r="M131" s="159"/>
    </row>
    <row r="132" spans="1:13" x14ac:dyDescent="0.25">
      <c r="A132" s="22"/>
      <c r="B132" s="22"/>
      <c r="C132" s="22">
        <v>614</v>
      </c>
      <c r="D132" s="22" t="s">
        <v>62</v>
      </c>
      <c r="E132" s="6">
        <v>2000</v>
      </c>
      <c r="F132" s="6">
        <v>261</v>
      </c>
      <c r="G132" s="6">
        <v>5000</v>
      </c>
      <c r="H132" s="38"/>
      <c r="I132" s="6">
        <f t="shared" si="8"/>
        <v>0</v>
      </c>
      <c r="J132" s="6">
        <v>5000</v>
      </c>
      <c r="K132" s="177">
        <f t="shared" si="14"/>
        <v>5.2200000000000003E-2</v>
      </c>
      <c r="M132" s="6"/>
    </row>
    <row r="133" spans="1:13" x14ac:dyDescent="0.25">
      <c r="A133" s="22"/>
      <c r="B133" s="22"/>
      <c r="C133" s="22">
        <v>615</v>
      </c>
      <c r="D133" s="22" t="s">
        <v>45</v>
      </c>
      <c r="E133" s="6">
        <v>2000</v>
      </c>
      <c r="F133" s="6">
        <v>12333</v>
      </c>
      <c r="G133" s="6">
        <v>3000</v>
      </c>
      <c r="H133" s="38"/>
      <c r="I133" s="6">
        <f t="shared" si="8"/>
        <v>9333</v>
      </c>
      <c r="J133" s="6">
        <v>12333</v>
      </c>
      <c r="K133" s="177">
        <f t="shared" si="14"/>
        <v>1</v>
      </c>
      <c r="M133" s="6"/>
    </row>
    <row r="134" spans="1:13" s="21" customFormat="1" x14ac:dyDescent="0.25">
      <c r="A134" s="22"/>
      <c r="B134" s="22"/>
      <c r="C134" s="22">
        <v>616</v>
      </c>
      <c r="D134" s="36" t="s">
        <v>166</v>
      </c>
      <c r="E134" s="6">
        <v>0</v>
      </c>
      <c r="F134" s="6">
        <v>553</v>
      </c>
      <c r="G134" s="6">
        <v>5000</v>
      </c>
      <c r="H134" s="141"/>
      <c r="I134" s="6">
        <f t="shared" si="8"/>
        <v>0</v>
      </c>
      <c r="J134" s="6">
        <v>5000</v>
      </c>
      <c r="K134" s="177">
        <f t="shared" si="14"/>
        <v>0.1106</v>
      </c>
      <c r="M134" s="159"/>
    </row>
    <row r="135" spans="1:13" x14ac:dyDescent="0.25">
      <c r="A135" s="7"/>
      <c r="B135" s="7"/>
      <c r="C135" s="7">
        <v>619</v>
      </c>
      <c r="D135" s="7" t="s">
        <v>88</v>
      </c>
      <c r="E135" s="8">
        <v>7000</v>
      </c>
      <c r="F135" s="8">
        <v>6521</v>
      </c>
      <c r="G135" s="8">
        <v>10000</v>
      </c>
      <c r="H135" s="38"/>
      <c r="I135" s="8">
        <f t="shared" si="8"/>
        <v>0</v>
      </c>
      <c r="J135" s="8">
        <v>10000</v>
      </c>
      <c r="K135" s="176">
        <f t="shared" si="14"/>
        <v>0.65210000000000001</v>
      </c>
      <c r="M135" s="8"/>
    </row>
    <row r="136" spans="1:13" x14ac:dyDescent="0.25">
      <c r="A136" s="7"/>
      <c r="B136" s="7"/>
      <c r="C136" s="7">
        <v>620</v>
      </c>
      <c r="D136" s="7" t="s">
        <v>161</v>
      </c>
      <c r="E136" s="8">
        <v>35000</v>
      </c>
      <c r="F136" s="8">
        <v>26439</v>
      </c>
      <c r="G136" s="8">
        <v>40000</v>
      </c>
      <c r="H136" s="38"/>
      <c r="I136" s="8">
        <f t="shared" si="8"/>
        <v>0</v>
      </c>
      <c r="J136" s="8">
        <v>40000</v>
      </c>
      <c r="K136" s="176">
        <f t="shared" si="14"/>
        <v>0.66097499999999998</v>
      </c>
      <c r="M136" s="8"/>
    </row>
    <row r="137" spans="1:13" s="21" customFormat="1" x14ac:dyDescent="0.25">
      <c r="A137" s="23"/>
      <c r="B137" s="23"/>
      <c r="C137" s="23">
        <v>630</v>
      </c>
      <c r="D137" s="23" t="s">
        <v>70</v>
      </c>
      <c r="E137" s="159">
        <v>100000</v>
      </c>
      <c r="F137" s="159">
        <v>97813</v>
      </c>
      <c r="G137" s="159">
        <v>100000</v>
      </c>
      <c r="H137" s="141"/>
      <c r="I137" s="159">
        <f t="shared" si="8"/>
        <v>25000</v>
      </c>
      <c r="J137" s="159">
        <v>125000</v>
      </c>
      <c r="K137" s="176">
        <f t="shared" si="14"/>
        <v>0.78250399999999998</v>
      </c>
      <c r="M137" s="159"/>
    </row>
    <row r="138" spans="1:13" x14ac:dyDescent="0.25">
      <c r="A138" s="22"/>
      <c r="B138" s="22"/>
      <c r="C138" s="22">
        <v>641</v>
      </c>
      <c r="D138" s="22" t="s">
        <v>141</v>
      </c>
      <c r="E138" s="6">
        <v>62695</v>
      </c>
      <c r="F138" s="6">
        <v>36854</v>
      </c>
      <c r="G138" s="6">
        <v>30000</v>
      </c>
      <c r="H138" s="38"/>
      <c r="I138" s="6">
        <f t="shared" si="8"/>
        <v>6854</v>
      </c>
      <c r="J138" s="6">
        <v>36854</v>
      </c>
      <c r="K138" s="177">
        <f t="shared" si="14"/>
        <v>1</v>
      </c>
      <c r="M138" s="6"/>
    </row>
    <row r="139" spans="1:13" x14ac:dyDescent="0.25">
      <c r="A139" s="22"/>
      <c r="B139" s="22"/>
      <c r="C139" s="22">
        <v>644</v>
      </c>
      <c r="D139" s="22" t="s">
        <v>56</v>
      </c>
      <c r="E139" s="6">
        <v>1250</v>
      </c>
      <c r="F139" s="6">
        <v>1147</v>
      </c>
      <c r="G139" s="6">
        <v>2000</v>
      </c>
      <c r="H139" s="38"/>
      <c r="I139" s="6">
        <f t="shared" si="8"/>
        <v>0</v>
      </c>
      <c r="J139" s="6">
        <v>2000</v>
      </c>
      <c r="K139" s="177">
        <f t="shared" si="14"/>
        <v>0.57350000000000001</v>
      </c>
      <c r="M139" s="6"/>
    </row>
    <row r="140" spans="1:13" s="21" customFormat="1" x14ac:dyDescent="0.25">
      <c r="A140" s="22"/>
      <c r="B140" s="22"/>
      <c r="C140" s="22">
        <v>645</v>
      </c>
      <c r="D140" s="22" t="s">
        <v>169</v>
      </c>
      <c r="E140" s="6">
        <v>0</v>
      </c>
      <c r="F140" s="6">
        <v>325</v>
      </c>
      <c r="G140" s="6">
        <v>0</v>
      </c>
      <c r="H140" s="141"/>
      <c r="I140" s="6">
        <f t="shared" si="8"/>
        <v>325</v>
      </c>
      <c r="J140" s="6">
        <v>325</v>
      </c>
      <c r="K140" s="177">
        <f t="shared" si="14"/>
        <v>1</v>
      </c>
      <c r="M140" s="159">
        <v>0</v>
      </c>
    </row>
    <row r="141" spans="1:13" s="21" customFormat="1" x14ac:dyDescent="0.25">
      <c r="A141" s="23"/>
      <c r="B141" s="23"/>
      <c r="C141" s="23">
        <v>645</v>
      </c>
      <c r="D141" s="23" t="s">
        <v>244</v>
      </c>
      <c r="E141" s="159">
        <v>3948</v>
      </c>
      <c r="F141" s="159">
        <v>2030</v>
      </c>
      <c r="G141" s="159">
        <v>0</v>
      </c>
      <c r="H141" s="141"/>
      <c r="I141" s="159">
        <f t="shared" si="8"/>
        <v>2030</v>
      </c>
      <c r="J141" s="159">
        <v>2030</v>
      </c>
      <c r="K141" s="176">
        <f t="shared" si="14"/>
        <v>1</v>
      </c>
      <c r="M141" s="159"/>
    </row>
    <row r="142" spans="1:13" s="21" customFormat="1" x14ac:dyDescent="0.25">
      <c r="A142" s="23"/>
      <c r="B142" s="23"/>
      <c r="C142" s="23">
        <v>670</v>
      </c>
      <c r="D142" s="23" t="s">
        <v>151</v>
      </c>
      <c r="E142" s="159">
        <v>20821</v>
      </c>
      <c r="F142" s="159">
        <v>14628</v>
      </c>
      <c r="G142" s="159">
        <v>5000</v>
      </c>
      <c r="H142" s="141"/>
      <c r="I142" s="159">
        <f t="shared" si="8"/>
        <v>15000</v>
      </c>
      <c r="J142" s="159">
        <v>20000</v>
      </c>
      <c r="K142" s="176">
        <f t="shared" si="14"/>
        <v>0.73140000000000005</v>
      </c>
      <c r="M142" s="159">
        <v>12196</v>
      </c>
    </row>
    <row r="143" spans="1:13" s="21" customFormat="1" x14ac:dyDescent="0.25">
      <c r="A143" s="23"/>
      <c r="B143" s="23"/>
      <c r="C143" s="23">
        <v>680</v>
      </c>
      <c r="D143" s="168" t="s">
        <v>69</v>
      </c>
      <c r="E143" s="159">
        <v>30000</v>
      </c>
      <c r="F143" s="159">
        <v>15940</v>
      </c>
      <c r="G143" s="159">
        <v>20000</v>
      </c>
      <c r="H143" s="141"/>
      <c r="I143" s="159">
        <f t="shared" si="8"/>
        <v>0</v>
      </c>
      <c r="J143" s="159">
        <v>20000</v>
      </c>
      <c r="K143" s="176">
        <f t="shared" si="14"/>
        <v>0.79700000000000004</v>
      </c>
      <c r="M143" s="159">
        <v>8000</v>
      </c>
    </row>
    <row r="144" spans="1:13" ht="15.75" thickBot="1" x14ac:dyDescent="0.3">
      <c r="A144" s="16"/>
      <c r="B144" s="16"/>
      <c r="C144" s="16"/>
      <c r="D144" s="15" t="s">
        <v>43</v>
      </c>
      <c r="E144" s="9">
        <f>SUM(E129:E143)</f>
        <v>312825</v>
      </c>
      <c r="F144" s="9">
        <f>SUM(F129:F143)</f>
        <v>251397</v>
      </c>
      <c r="G144" s="9">
        <f>SUM(G129:G143)</f>
        <v>263000</v>
      </c>
      <c r="H144" s="40"/>
      <c r="I144" s="9">
        <f t="shared" si="8"/>
        <v>58542</v>
      </c>
      <c r="J144" s="9">
        <f>SUM(J129:J143)</f>
        <v>321542</v>
      </c>
      <c r="K144" s="180">
        <f>F144/J144</f>
        <v>0.78184809449465387</v>
      </c>
      <c r="M144" s="9">
        <f>SUM(M129:M143)</f>
        <v>55196</v>
      </c>
    </row>
    <row r="145" spans="1:17" ht="15.75" thickTop="1" x14ac:dyDescent="0.25">
      <c r="A145" s="7"/>
      <c r="B145" s="7">
        <v>700</v>
      </c>
      <c r="C145" s="7" t="s">
        <v>9</v>
      </c>
      <c r="D145" s="7"/>
      <c r="E145" s="13"/>
      <c r="F145" s="13"/>
      <c r="G145" s="13"/>
      <c r="H145" s="41"/>
      <c r="I145" s="13"/>
      <c r="J145" s="13"/>
      <c r="K145" s="179"/>
      <c r="M145" s="13"/>
    </row>
    <row r="146" spans="1:17" x14ac:dyDescent="0.25">
      <c r="A146" s="7"/>
      <c r="B146" s="7"/>
      <c r="C146" s="7">
        <v>710</v>
      </c>
      <c r="D146" s="7" t="s">
        <v>167</v>
      </c>
      <c r="E146" s="159">
        <v>16585</v>
      </c>
      <c r="F146" s="8">
        <v>165002</v>
      </c>
      <c r="G146" s="159">
        <v>25000</v>
      </c>
      <c r="H146" s="38"/>
      <c r="I146" s="8">
        <f t="shared" si="8"/>
        <v>140002</v>
      </c>
      <c r="J146" s="159">
        <v>165002</v>
      </c>
      <c r="K146" s="176">
        <f t="shared" ref="K146:K149" si="15">F146/J146</f>
        <v>1</v>
      </c>
      <c r="M146" s="159">
        <v>5000</v>
      </c>
      <c r="N146" s="21" t="s">
        <v>333</v>
      </c>
      <c r="P146" s="21"/>
      <c r="Q146" t="s">
        <v>372</v>
      </c>
    </row>
    <row r="147" spans="1:17" x14ac:dyDescent="0.25">
      <c r="A147" s="7"/>
      <c r="B147" s="7"/>
      <c r="C147" s="7">
        <v>732</v>
      </c>
      <c r="D147" s="7" t="s">
        <v>196</v>
      </c>
      <c r="E147" s="159">
        <v>4640</v>
      </c>
      <c r="F147" s="8">
        <v>0</v>
      </c>
      <c r="G147" s="159">
        <v>0</v>
      </c>
      <c r="H147" s="38"/>
      <c r="I147" s="8">
        <f t="shared" si="8"/>
        <v>0</v>
      </c>
      <c r="J147" s="159">
        <v>0</v>
      </c>
      <c r="K147" s="176" t="e">
        <f t="shared" si="15"/>
        <v>#DIV/0!</v>
      </c>
      <c r="L147" s="21"/>
      <c r="M147" s="159"/>
      <c r="N147" t="s">
        <v>369</v>
      </c>
    </row>
    <row r="148" spans="1:17" x14ac:dyDescent="0.25">
      <c r="A148" s="7"/>
      <c r="B148" s="7"/>
      <c r="C148" s="7">
        <v>733</v>
      </c>
      <c r="D148" s="7" t="s">
        <v>46</v>
      </c>
      <c r="E148" s="159">
        <v>5444</v>
      </c>
      <c r="F148" s="8">
        <v>15646</v>
      </c>
      <c r="G148" s="159">
        <v>4000</v>
      </c>
      <c r="H148" s="38"/>
      <c r="I148" s="8">
        <f t="shared" si="8"/>
        <v>11646</v>
      </c>
      <c r="J148" s="159">
        <v>15646</v>
      </c>
      <c r="K148" s="176">
        <f t="shared" si="15"/>
        <v>1</v>
      </c>
      <c r="M148" s="159">
        <v>4000</v>
      </c>
    </row>
    <row r="149" spans="1:17" x14ac:dyDescent="0.25">
      <c r="A149" s="22"/>
      <c r="B149" s="22"/>
      <c r="C149" s="22">
        <v>734</v>
      </c>
      <c r="D149" s="22" t="s">
        <v>71</v>
      </c>
      <c r="E149" s="6">
        <v>208307</v>
      </c>
      <c r="F149" s="6">
        <v>20074</v>
      </c>
      <c r="G149" s="6">
        <v>39000</v>
      </c>
      <c r="H149" s="38"/>
      <c r="I149" s="6">
        <f t="shared" si="8"/>
        <v>0</v>
      </c>
      <c r="J149" s="6">
        <v>39000</v>
      </c>
      <c r="K149" s="177">
        <f t="shared" si="15"/>
        <v>0.51471794871794874</v>
      </c>
      <c r="M149" s="159">
        <f>117360+22923+21827+1869+3129+11360+605+4724+8780+10000</f>
        <v>202577</v>
      </c>
      <c r="N149" t="s">
        <v>365</v>
      </c>
    </row>
    <row r="150" spans="1:17" ht="15.75" thickBot="1" x14ac:dyDescent="0.3">
      <c r="A150" s="16"/>
      <c r="B150" s="16"/>
      <c r="C150" s="16"/>
      <c r="D150" s="15" t="s">
        <v>47</v>
      </c>
      <c r="E150" s="9">
        <f>SUM(E146:E149)</f>
        <v>234976</v>
      </c>
      <c r="F150" s="9">
        <f>SUM(F146:F149)</f>
        <v>200722</v>
      </c>
      <c r="G150" s="9">
        <f>SUM(G146:G149)</f>
        <v>68000</v>
      </c>
      <c r="H150" s="40"/>
      <c r="I150" s="9">
        <f t="shared" si="8"/>
        <v>151648</v>
      </c>
      <c r="J150" s="9">
        <f>SUM(J146:J149)</f>
        <v>219648</v>
      </c>
      <c r="K150" s="180">
        <f t="shared" ref="K150" si="16">IFERROR(F150/J150,0)</f>
        <v>0.91383486305361306</v>
      </c>
      <c r="M150" s="9">
        <f>SUM(M146:M149)</f>
        <v>211577</v>
      </c>
    </row>
    <row r="151" spans="1:17" ht="15.75" thickTop="1" x14ac:dyDescent="0.25">
      <c r="A151" s="7"/>
      <c r="B151" s="7">
        <v>800</v>
      </c>
      <c r="C151" s="7" t="s">
        <v>72</v>
      </c>
      <c r="D151" s="7"/>
      <c r="E151" s="13"/>
      <c r="F151" s="13"/>
      <c r="G151" s="13"/>
      <c r="H151" s="41"/>
      <c r="I151" s="13"/>
      <c r="J151" s="13"/>
      <c r="K151" s="179"/>
      <c r="M151" s="13"/>
    </row>
    <row r="152" spans="1:17" x14ac:dyDescent="0.25">
      <c r="A152" s="7"/>
      <c r="B152" s="7"/>
      <c r="C152" s="7">
        <v>810</v>
      </c>
      <c r="D152" s="7" t="s">
        <v>73</v>
      </c>
      <c r="E152" s="8">
        <v>3000</v>
      </c>
      <c r="F152" s="8">
        <v>2222</v>
      </c>
      <c r="G152" s="8">
        <v>4000</v>
      </c>
      <c r="H152" s="38"/>
      <c r="I152" s="8">
        <f t="shared" si="8"/>
        <v>0</v>
      </c>
      <c r="J152" s="8">
        <v>4000</v>
      </c>
      <c r="K152" s="176">
        <f>F152/J152</f>
        <v>0.55549999999999999</v>
      </c>
      <c r="M152" s="8">
        <v>4000</v>
      </c>
    </row>
    <row r="153" spans="1:17" x14ac:dyDescent="0.25">
      <c r="A153" s="7"/>
      <c r="B153" s="7"/>
      <c r="C153" s="7">
        <v>812</v>
      </c>
      <c r="D153" s="7" t="s">
        <v>94</v>
      </c>
      <c r="E153" s="8">
        <v>2600</v>
      </c>
      <c r="F153" s="8">
        <v>2486</v>
      </c>
      <c r="G153" s="8">
        <v>2600</v>
      </c>
      <c r="H153" s="38"/>
      <c r="I153" s="8">
        <f t="shared" si="8"/>
        <v>600</v>
      </c>
      <c r="J153" s="8">
        <v>3200</v>
      </c>
      <c r="K153" s="176">
        <f t="shared" ref="K153:K157" si="17">F153/J153</f>
        <v>0.77687499999999998</v>
      </c>
      <c r="M153" s="8">
        <v>2000</v>
      </c>
    </row>
    <row r="154" spans="1:17" x14ac:dyDescent="0.25">
      <c r="A154" s="7"/>
      <c r="B154" s="7"/>
      <c r="C154" s="7">
        <v>811</v>
      </c>
      <c r="D154" s="7" t="s">
        <v>55</v>
      </c>
      <c r="E154" s="8">
        <v>2280</v>
      </c>
      <c r="F154" s="8">
        <v>2130</v>
      </c>
      <c r="G154" s="8">
        <v>2280</v>
      </c>
      <c r="H154" s="38"/>
      <c r="I154" s="8">
        <f t="shared" si="8"/>
        <v>-150</v>
      </c>
      <c r="J154" s="8">
        <v>2130</v>
      </c>
      <c r="K154" s="176">
        <f t="shared" si="17"/>
        <v>1</v>
      </c>
      <c r="M154" s="8">
        <v>2268</v>
      </c>
    </row>
    <row r="155" spans="1:17" x14ac:dyDescent="0.25">
      <c r="A155" s="5"/>
      <c r="B155" s="5"/>
      <c r="C155" s="5">
        <v>813</v>
      </c>
      <c r="D155" s="5" t="s">
        <v>158</v>
      </c>
      <c r="E155" s="6">
        <v>1041</v>
      </c>
      <c r="F155" s="6">
        <v>921</v>
      </c>
      <c r="G155" s="6">
        <v>2500</v>
      </c>
      <c r="H155" s="38"/>
      <c r="I155" s="6">
        <f t="shared" si="8"/>
        <v>0</v>
      </c>
      <c r="J155" s="6">
        <v>2500</v>
      </c>
      <c r="K155" s="177">
        <f t="shared" si="17"/>
        <v>0.36840000000000001</v>
      </c>
      <c r="M155" s="6">
        <v>2500</v>
      </c>
    </row>
    <row r="156" spans="1:17" x14ac:dyDescent="0.25">
      <c r="A156" s="5"/>
      <c r="B156" s="5"/>
      <c r="C156" s="5">
        <v>830</v>
      </c>
      <c r="D156" s="5" t="s">
        <v>79</v>
      </c>
      <c r="E156" s="6">
        <v>5829</v>
      </c>
      <c r="F156" s="6">
        <v>0</v>
      </c>
      <c r="G156" s="6">
        <v>0</v>
      </c>
      <c r="H156" s="38"/>
      <c r="I156" s="6">
        <f t="shared" si="8"/>
        <v>0</v>
      </c>
      <c r="J156" s="6">
        <v>0</v>
      </c>
      <c r="K156" s="177" t="e">
        <f t="shared" si="17"/>
        <v>#DIV/0!</v>
      </c>
      <c r="M156" s="6">
        <v>5687</v>
      </c>
    </row>
    <row r="157" spans="1:17" x14ac:dyDescent="0.25">
      <c r="A157" s="5"/>
      <c r="B157" s="5"/>
      <c r="C157" s="5">
        <v>830</v>
      </c>
      <c r="D157" s="5" t="s">
        <v>137</v>
      </c>
      <c r="E157" s="6">
        <v>364104</v>
      </c>
      <c r="F157" s="6">
        <v>273078</v>
      </c>
      <c r="G157" s="6">
        <v>364104</v>
      </c>
      <c r="H157" s="38"/>
      <c r="I157" s="6">
        <f t="shared" si="8"/>
        <v>0</v>
      </c>
      <c r="J157" s="6">
        <v>364104</v>
      </c>
      <c r="K157" s="177">
        <f t="shared" si="17"/>
        <v>0.75</v>
      </c>
      <c r="L157" s="157"/>
      <c r="M157" s="6">
        <v>364104</v>
      </c>
    </row>
    <row r="158" spans="1:17" ht="15.75" thickBot="1" x14ac:dyDescent="0.3">
      <c r="A158" s="16"/>
      <c r="B158" s="16"/>
      <c r="C158" s="16"/>
      <c r="D158" s="15" t="s">
        <v>48</v>
      </c>
      <c r="E158" s="9">
        <f>SUM(E152:E157)</f>
        <v>378854</v>
      </c>
      <c r="F158" s="9">
        <f>SUM(F152:F157)</f>
        <v>280837</v>
      </c>
      <c r="G158" s="9">
        <f>SUM(G152:G157)</f>
        <v>375484</v>
      </c>
      <c r="H158" s="40"/>
      <c r="I158" s="9">
        <f t="shared" ref="I158:I159" si="18">J158-G158</f>
        <v>450</v>
      </c>
      <c r="J158" s="9">
        <f>SUM(J152:J157)</f>
        <v>375934</v>
      </c>
      <c r="K158" s="181">
        <f>F158/J158</f>
        <v>0.74703804391196327</v>
      </c>
      <c r="M158" s="9">
        <f>SUM(M152:M157)</f>
        <v>380559</v>
      </c>
    </row>
    <row r="159" spans="1:17" ht="16.5" thickTop="1" thickBot="1" x14ac:dyDescent="0.3">
      <c r="A159" s="18"/>
      <c r="B159" s="18"/>
      <c r="C159" s="18"/>
      <c r="D159" s="19" t="s">
        <v>49</v>
      </c>
      <c r="E159" s="20">
        <f>E90+E99+E110+E117+E127+E144+E150+E158</f>
        <v>3837265.9160000002</v>
      </c>
      <c r="F159" s="20">
        <f>F90+F99+F110+F117+F127+F144+F150+F158</f>
        <v>2915947</v>
      </c>
      <c r="G159" s="20">
        <f>G90+G99+G110+G117+G127+G144+G150+G158</f>
        <v>3642120</v>
      </c>
      <c r="H159" s="40"/>
      <c r="I159" s="20">
        <f t="shared" si="18"/>
        <v>241936</v>
      </c>
      <c r="J159" s="20">
        <f>J90+J99+J110+J117+J127+J144+J150+J158</f>
        <v>3884056</v>
      </c>
      <c r="K159" s="184">
        <f>F159/J159</f>
        <v>0.75074792948402391</v>
      </c>
      <c r="M159" s="20">
        <f>M90+M99+M110+M117+M127+M144+M150+M158</f>
        <v>3416535</v>
      </c>
    </row>
    <row r="160" spans="1:17" ht="15.75" thickBot="1" x14ac:dyDescent="0.3">
      <c r="A160" s="2"/>
      <c r="B160" s="2"/>
      <c r="C160" s="2"/>
      <c r="D160" s="2"/>
      <c r="E160" s="3"/>
      <c r="F160" s="3"/>
      <c r="G160" s="3"/>
      <c r="H160" s="43"/>
      <c r="I160" s="3"/>
      <c r="J160" s="3"/>
      <c r="K160" s="43"/>
      <c r="M160" s="3"/>
    </row>
    <row r="161" spans="1:13" ht="16.5" thickBot="1" x14ac:dyDescent="0.3">
      <c r="A161" s="198"/>
      <c r="B161" s="198"/>
      <c r="C161" s="198"/>
      <c r="D161" s="199" t="s">
        <v>50</v>
      </c>
      <c r="E161" s="200">
        <f>E74-E159</f>
        <v>130097.0839999998</v>
      </c>
      <c r="F161" s="200">
        <f>F74-F159</f>
        <v>-184313</v>
      </c>
      <c r="G161" s="200">
        <f>G74-G159</f>
        <v>489445</v>
      </c>
      <c r="H161" s="201"/>
      <c r="I161" s="200"/>
      <c r="J161" s="200">
        <f>J74-J159</f>
        <v>337265</v>
      </c>
      <c r="K161" s="202">
        <f>J161/J74</f>
        <v>7.9895606138457601E-2</v>
      </c>
      <c r="M161" s="208">
        <f>M74-M159</f>
        <v>428375</v>
      </c>
    </row>
    <row r="162" spans="1:13" x14ac:dyDescent="0.25">
      <c r="E162" s="134"/>
      <c r="F162" s="25"/>
      <c r="G162" s="155"/>
      <c r="H162" s="26"/>
      <c r="I162" s="187"/>
      <c r="J162" s="188"/>
      <c r="K162" s="164"/>
      <c r="L162" s="164"/>
      <c r="M162" s="209">
        <f>0.03*M74</f>
        <v>115347.3</v>
      </c>
    </row>
    <row r="163" spans="1:13" x14ac:dyDescent="0.25">
      <c r="F163" s="37"/>
      <c r="G163" s="26"/>
      <c r="H163" s="26"/>
      <c r="I163" s="26"/>
      <c r="J163" s="26"/>
      <c r="K163" s="26"/>
      <c r="M163" s="26"/>
    </row>
    <row r="165" spans="1:13" x14ac:dyDescent="0.25">
      <c r="G165" s="35"/>
      <c r="H165" s="35"/>
      <c r="I165" s="35"/>
      <c r="K165" s="35"/>
    </row>
  </sheetData>
  <mergeCells count="1">
    <mergeCell ref="B2:D2"/>
  </mergeCells>
  <pageMargins left="1.2" right="0.45" top="0.75" bottom="0.75" header="0.3" footer="0.3"/>
  <pageSetup scale="72" fitToHeight="0" orientation="portrait" cellComments="asDisplayed" r:id="rId1"/>
  <rowBreaks count="3" manualBreakCount="3">
    <brk id="50" max="10" man="1"/>
    <brk id="74" max="16383" man="1"/>
    <brk id="117" max="10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"/>
  <sheetViews>
    <sheetView workbookViewId="0">
      <selection activeCell="D12" sqref="D12"/>
    </sheetView>
  </sheetViews>
  <sheetFormatPr defaultRowHeight="15" x14ac:dyDescent="0.25"/>
  <cols>
    <col min="1" max="1" width="2.5703125" customWidth="1"/>
    <col min="3" max="4" width="9.85546875" bestFit="1" customWidth="1"/>
    <col min="5" max="5" width="2.28515625" customWidth="1"/>
    <col min="6" max="6" width="2.5703125" customWidth="1"/>
    <col min="7" max="7" width="11.5703125" customWidth="1"/>
    <col min="9" max="9" width="9.7109375" bestFit="1" customWidth="1"/>
    <col min="10" max="10" width="10.5703125" bestFit="1" customWidth="1"/>
    <col min="16" max="16" width="9.7109375" bestFit="1" customWidth="1"/>
    <col min="20" max="20" width="10.7109375" customWidth="1"/>
  </cols>
  <sheetData>
    <row r="1" spans="2:21" x14ac:dyDescent="0.25">
      <c r="B1" s="45" t="s">
        <v>95</v>
      </c>
      <c r="C1" s="45"/>
      <c r="D1" s="45"/>
      <c r="H1" s="46" t="s">
        <v>96</v>
      </c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2:21" x14ac:dyDescent="0.25">
      <c r="C2" s="48" t="s">
        <v>97</v>
      </c>
      <c r="D2" s="48" t="s">
        <v>98</v>
      </c>
      <c r="H2" s="44" t="s">
        <v>99</v>
      </c>
      <c r="I2" s="44" t="s">
        <v>100</v>
      </c>
      <c r="J2" s="44" t="s">
        <v>101</v>
      </c>
      <c r="K2" s="44" t="s">
        <v>102</v>
      </c>
      <c r="L2" s="44" t="s">
        <v>103</v>
      </c>
      <c r="M2" s="44" t="s">
        <v>104</v>
      </c>
      <c r="N2" s="44" t="s">
        <v>99</v>
      </c>
      <c r="O2" s="44" t="s">
        <v>105</v>
      </c>
      <c r="P2" s="44" t="s">
        <v>106</v>
      </c>
      <c r="Q2" s="44" t="s">
        <v>100</v>
      </c>
      <c r="R2" s="44" t="s">
        <v>106</v>
      </c>
      <c r="S2" s="44" t="s">
        <v>99</v>
      </c>
    </row>
    <row r="3" spans="2:21" x14ac:dyDescent="0.25">
      <c r="B3" t="s">
        <v>99</v>
      </c>
      <c r="C3" s="49">
        <v>1466989</v>
      </c>
      <c r="D3" s="49">
        <v>1105913</v>
      </c>
      <c r="G3" t="s">
        <v>107</v>
      </c>
      <c r="H3" s="50">
        <v>314694</v>
      </c>
      <c r="I3" s="50">
        <v>258130</v>
      </c>
      <c r="J3" s="50">
        <v>286334</v>
      </c>
      <c r="K3" s="50">
        <v>300609</v>
      </c>
      <c r="L3" s="50">
        <v>335640</v>
      </c>
      <c r="M3" s="50">
        <v>307567</v>
      </c>
      <c r="N3" s="50">
        <v>315609</v>
      </c>
      <c r="O3" s="50">
        <v>300079</v>
      </c>
      <c r="P3" s="50">
        <v>295024</v>
      </c>
      <c r="Q3" s="50"/>
      <c r="R3" s="50"/>
      <c r="S3" s="50"/>
      <c r="T3" s="47">
        <f>SUM(H3:S3)</f>
        <v>2713686</v>
      </c>
      <c r="U3" s="51" t="s">
        <v>108</v>
      </c>
    </row>
    <row r="4" spans="2:21" x14ac:dyDescent="0.25">
      <c r="B4" t="s">
        <v>100</v>
      </c>
      <c r="C4" s="49">
        <v>1445134</v>
      </c>
      <c r="D4" s="49">
        <v>1192120</v>
      </c>
      <c r="G4" t="s">
        <v>78</v>
      </c>
      <c r="H4" s="50">
        <v>252564</v>
      </c>
      <c r="I4" s="50">
        <v>295865</v>
      </c>
      <c r="J4" s="50">
        <v>395036</v>
      </c>
      <c r="K4" s="50">
        <v>312343</v>
      </c>
      <c r="L4" s="50">
        <v>312284</v>
      </c>
      <c r="M4" s="50">
        <v>309698</v>
      </c>
      <c r="N4" s="50">
        <v>298001</v>
      </c>
      <c r="O4" s="50">
        <v>275946</v>
      </c>
      <c r="P4" s="50">
        <v>416568</v>
      </c>
      <c r="Q4" s="50"/>
      <c r="R4" s="50"/>
      <c r="S4" s="50"/>
      <c r="T4" s="47">
        <f>SUM(H4:S4)</f>
        <v>2868305</v>
      </c>
      <c r="U4" s="51" t="s">
        <v>108</v>
      </c>
    </row>
    <row r="5" spans="2:21" x14ac:dyDescent="0.25">
      <c r="B5" t="s">
        <v>101</v>
      </c>
      <c r="C5" s="49">
        <v>1701095</v>
      </c>
      <c r="D5" s="49">
        <v>1080500</v>
      </c>
      <c r="H5" s="47">
        <f>H3-H4</f>
        <v>62130</v>
      </c>
      <c r="I5" s="47">
        <f t="shared" ref="I5:K5" si="0">I3-I4</f>
        <v>-37735</v>
      </c>
      <c r="J5" s="47">
        <f t="shared" si="0"/>
        <v>-108702</v>
      </c>
      <c r="K5" s="47">
        <f t="shared" si="0"/>
        <v>-11734</v>
      </c>
      <c r="L5" s="47">
        <f t="shared" ref="L5" si="1">L3-L4</f>
        <v>23356</v>
      </c>
      <c r="M5" s="47">
        <f t="shared" ref="M5" si="2">M3-M4</f>
        <v>-2131</v>
      </c>
      <c r="N5" s="47">
        <f t="shared" ref="N5" si="3">N3-N4</f>
        <v>17608</v>
      </c>
      <c r="O5" s="47">
        <f t="shared" ref="O5" si="4">O3-O4</f>
        <v>24133</v>
      </c>
      <c r="P5" s="47">
        <f t="shared" ref="P5" si="5">P3-P4</f>
        <v>-121544</v>
      </c>
      <c r="Q5" s="47">
        <f t="shared" ref="Q5" si="6">Q3-Q4</f>
        <v>0</v>
      </c>
      <c r="R5" s="47">
        <f t="shared" ref="R5" si="7">R3-R4</f>
        <v>0</v>
      </c>
      <c r="S5" s="47">
        <f t="shared" ref="S5" si="8">S3-S4</f>
        <v>0</v>
      </c>
      <c r="T5" s="47">
        <f>T3-T4</f>
        <v>-154619</v>
      </c>
    </row>
    <row r="6" spans="2:21" x14ac:dyDescent="0.25">
      <c r="B6" t="s">
        <v>102</v>
      </c>
      <c r="C6" s="49">
        <v>1718322</v>
      </c>
      <c r="D6" s="49">
        <v>1380076</v>
      </c>
      <c r="H6" s="174">
        <f>H5/H3</f>
        <v>0.19742988426852753</v>
      </c>
      <c r="I6" s="174">
        <f t="shared" ref="I6:K6" si="9">I5/I3</f>
        <v>-0.1461860302948127</v>
      </c>
      <c r="J6" s="174">
        <f t="shared" si="9"/>
        <v>-0.37963357477631016</v>
      </c>
      <c r="K6" s="174">
        <f t="shared" si="9"/>
        <v>-3.9034094122265134E-2</v>
      </c>
      <c r="L6" s="174">
        <f t="shared" ref="L6" si="10">L5/L3</f>
        <v>6.9586461685138837E-2</v>
      </c>
      <c r="M6" s="174">
        <f t="shared" ref="M6" si="11">M5/M3</f>
        <v>-6.9285716608088648E-3</v>
      </c>
      <c r="N6" s="174">
        <f t="shared" ref="N6" si="12">N5/N3</f>
        <v>5.5790550966544047E-2</v>
      </c>
      <c r="O6" s="174">
        <f t="shared" ref="O6" si="13">O5/O3</f>
        <v>8.042215549905192E-2</v>
      </c>
      <c r="P6" s="174">
        <f t="shared" ref="P6" si="14">P5/P3</f>
        <v>-0.41198004230164326</v>
      </c>
      <c r="Q6" s="174" t="e">
        <f t="shared" ref="Q6" si="15">Q5/Q3</f>
        <v>#DIV/0!</v>
      </c>
      <c r="R6" s="174" t="e">
        <f t="shared" ref="R6" si="16">R5/R3</f>
        <v>#DIV/0!</v>
      </c>
      <c r="S6" s="174" t="e">
        <f t="shared" ref="S6" si="17">S5/S3</f>
        <v>#DIV/0!</v>
      </c>
    </row>
    <row r="7" spans="2:21" x14ac:dyDescent="0.25">
      <c r="B7" t="s">
        <v>103</v>
      </c>
      <c r="C7" s="49">
        <v>1724608</v>
      </c>
      <c r="D7" s="49">
        <v>1408737</v>
      </c>
    </row>
    <row r="8" spans="2:21" x14ac:dyDescent="0.25">
      <c r="B8" t="s">
        <v>104</v>
      </c>
      <c r="C8" s="49">
        <v>1664465</v>
      </c>
      <c r="D8" s="49">
        <v>1359450</v>
      </c>
    </row>
    <row r="9" spans="2:21" x14ac:dyDescent="0.25">
      <c r="B9" t="s">
        <v>99</v>
      </c>
      <c r="C9" s="49">
        <v>1686563</v>
      </c>
      <c r="D9" s="49">
        <v>1371662</v>
      </c>
    </row>
    <row r="10" spans="2:21" x14ac:dyDescent="0.25">
      <c r="B10" t="s">
        <v>105</v>
      </c>
      <c r="C10" s="49">
        <v>1694873</v>
      </c>
      <c r="D10" s="49">
        <v>1394774</v>
      </c>
    </row>
    <row r="11" spans="2:21" x14ac:dyDescent="0.25">
      <c r="B11" t="s">
        <v>106</v>
      </c>
      <c r="C11" s="49">
        <v>1627374</v>
      </c>
      <c r="D11" s="49">
        <v>1342398</v>
      </c>
    </row>
    <row r="12" spans="2:21" x14ac:dyDescent="0.25">
      <c r="B12" t="s">
        <v>100</v>
      </c>
      <c r="C12" s="49"/>
      <c r="D12" s="49"/>
    </row>
    <row r="13" spans="2:21" x14ac:dyDescent="0.25">
      <c r="B13" t="s">
        <v>106</v>
      </c>
      <c r="C13" s="49"/>
      <c r="D13" s="49"/>
    </row>
    <row r="14" spans="2:21" x14ac:dyDescent="0.25">
      <c r="B14" t="s">
        <v>99</v>
      </c>
      <c r="C14" s="49"/>
      <c r="D14" s="4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08"/>
  <sheetViews>
    <sheetView topLeftCell="A74" workbookViewId="0">
      <selection activeCell="V95" sqref="V95"/>
    </sheetView>
  </sheetViews>
  <sheetFormatPr defaultRowHeight="15" x14ac:dyDescent="0.25"/>
  <cols>
    <col min="2" max="2" width="23.7109375" bestFit="1" customWidth="1"/>
    <col min="3" max="4" width="12.7109375" customWidth="1"/>
    <col min="5" max="5" width="5.7109375" customWidth="1"/>
    <col min="6" max="6" width="9.140625" customWidth="1"/>
    <col min="7" max="7" width="23.7109375" customWidth="1"/>
    <col min="8" max="9" width="12.7109375" customWidth="1"/>
    <col min="10" max="10" width="5.7109375" customWidth="1"/>
    <col min="12" max="12" width="23.7109375" bestFit="1" customWidth="1"/>
    <col min="13" max="14" width="12.7109375" customWidth="1"/>
    <col min="15" max="15" width="5.7109375" customWidth="1"/>
    <col min="17" max="17" width="23.7109375" bestFit="1" customWidth="1"/>
    <col min="18" max="19" width="12.7109375" customWidth="1"/>
    <col min="20" max="20" width="5.7109375" customWidth="1"/>
    <col min="22" max="22" width="23.7109375" bestFit="1" customWidth="1"/>
    <col min="23" max="24" width="12.7109375" customWidth="1"/>
    <col min="27" max="27" width="23.7109375" customWidth="1"/>
    <col min="28" max="29" width="12.7109375" customWidth="1"/>
  </cols>
  <sheetData>
    <row r="1" spans="1:35" x14ac:dyDescent="0.25">
      <c r="C1" s="252" t="s">
        <v>284</v>
      </c>
      <c r="D1" s="252"/>
      <c r="H1" s="250" t="s">
        <v>285</v>
      </c>
      <c r="I1" s="250"/>
      <c r="M1" s="250" t="s">
        <v>197</v>
      </c>
      <c r="N1" s="250"/>
      <c r="R1" s="252" t="s">
        <v>201</v>
      </c>
      <c r="S1" s="252"/>
      <c r="W1" s="254" t="s">
        <v>201</v>
      </c>
      <c r="X1" s="254"/>
    </row>
    <row r="2" spans="1:35" x14ac:dyDescent="0.25">
      <c r="C2" s="253" t="s">
        <v>216</v>
      </c>
      <c r="D2" s="253"/>
      <c r="H2" s="251" t="s">
        <v>216</v>
      </c>
      <c r="I2" s="251"/>
      <c r="M2" s="251" t="s">
        <v>217</v>
      </c>
      <c r="N2" s="251"/>
      <c r="R2" s="252" t="s">
        <v>204</v>
      </c>
      <c r="S2" s="252"/>
      <c r="W2" s="254" t="s">
        <v>205</v>
      </c>
      <c r="X2" s="254"/>
    </row>
    <row r="3" spans="1:35" x14ac:dyDescent="0.25">
      <c r="C3" s="213" t="s">
        <v>203</v>
      </c>
      <c r="D3" s="213" t="s">
        <v>116</v>
      </c>
      <c r="H3" s="228" t="s">
        <v>203</v>
      </c>
      <c r="I3" s="228" t="s">
        <v>116</v>
      </c>
      <c r="M3" s="213" t="s">
        <v>203</v>
      </c>
      <c r="N3" s="213" t="s">
        <v>116</v>
      </c>
    </row>
    <row r="4" spans="1:35" x14ac:dyDescent="0.25">
      <c r="A4" s="85">
        <v>4000</v>
      </c>
      <c r="B4" s="85" t="s">
        <v>198</v>
      </c>
      <c r="C4" s="80">
        <v>10304.370000000001</v>
      </c>
      <c r="D4" s="214">
        <v>10304.370000000001</v>
      </c>
      <c r="F4" s="85">
        <v>4000</v>
      </c>
      <c r="G4" s="85" t="s">
        <v>198</v>
      </c>
      <c r="H4" s="80">
        <v>0</v>
      </c>
      <c r="I4" s="214">
        <v>42733</v>
      </c>
      <c r="K4" s="85">
        <v>4000</v>
      </c>
      <c r="L4" s="85" t="s">
        <v>198</v>
      </c>
      <c r="M4" s="80">
        <v>38961</v>
      </c>
      <c r="N4" s="214">
        <v>38961</v>
      </c>
      <c r="P4" s="85">
        <v>3000</v>
      </c>
      <c r="Q4" s="85" t="s">
        <v>202</v>
      </c>
      <c r="R4" s="80">
        <v>126773</v>
      </c>
      <c r="S4" s="214">
        <v>126773</v>
      </c>
      <c r="U4" s="85">
        <v>3000</v>
      </c>
      <c r="V4" s="85" t="s">
        <v>202</v>
      </c>
      <c r="W4" s="80">
        <v>113227</v>
      </c>
      <c r="X4" s="214">
        <f>113227+466100</f>
        <v>579327</v>
      </c>
    </row>
    <row r="5" spans="1:35" ht="15.75" thickBot="1" x14ac:dyDescent="0.3">
      <c r="B5" s="89" t="s">
        <v>120</v>
      </c>
      <c r="C5" s="91">
        <f>SUM(C4:C4)</f>
        <v>10304.370000000001</v>
      </c>
      <c r="D5" s="215">
        <f>SUM(D4:D4)</f>
        <v>10304.370000000001</v>
      </c>
      <c r="G5" s="89" t="s">
        <v>120</v>
      </c>
      <c r="H5" s="91">
        <f>SUM(H4:H4)</f>
        <v>0</v>
      </c>
      <c r="I5" s="215">
        <f>SUM(I4:I4)</f>
        <v>42733</v>
      </c>
      <c r="L5" s="89" t="s">
        <v>120</v>
      </c>
      <c r="M5" s="91">
        <f>SUM(M4:M4)</f>
        <v>38961</v>
      </c>
      <c r="N5" s="215">
        <f>SUM(N4:N4)</f>
        <v>38961</v>
      </c>
      <c r="Q5" s="89" t="s">
        <v>120</v>
      </c>
      <c r="R5" s="91">
        <f>SUM(R4:R4)</f>
        <v>126773</v>
      </c>
      <c r="S5" s="215">
        <f>SUM(S4:S4)</f>
        <v>126773</v>
      </c>
      <c r="V5" s="89" t="s">
        <v>120</v>
      </c>
      <c r="W5" s="91">
        <f>SUM(W4:W4)</f>
        <v>113227</v>
      </c>
      <c r="X5" s="215">
        <f>SUM(X4:X4)</f>
        <v>579327</v>
      </c>
    </row>
    <row r="6" spans="1:35" ht="15.75" thickTop="1" x14ac:dyDescent="0.25">
      <c r="C6" s="212"/>
      <c r="D6" s="212"/>
      <c r="H6" s="212"/>
      <c r="I6" s="212"/>
      <c r="M6" s="212"/>
      <c r="N6" s="212"/>
      <c r="R6" s="212"/>
      <c r="S6" s="212"/>
      <c r="W6" s="212"/>
      <c r="X6" s="212"/>
    </row>
    <row r="7" spans="1:35" x14ac:dyDescent="0.25">
      <c r="C7" s="99"/>
      <c r="D7" s="99"/>
      <c r="H7" s="99"/>
      <c r="I7" s="99"/>
      <c r="M7" s="99"/>
      <c r="N7" s="99"/>
      <c r="R7" s="99"/>
      <c r="S7" s="99"/>
      <c r="W7" s="99"/>
      <c r="X7" s="99"/>
      <c r="Y7" t="s">
        <v>227</v>
      </c>
      <c r="AA7" t="s">
        <v>260</v>
      </c>
      <c r="AE7" t="s">
        <v>300</v>
      </c>
    </row>
    <row r="8" spans="1:35" x14ac:dyDescent="0.25">
      <c r="A8" s="85">
        <v>100</v>
      </c>
      <c r="B8" s="85" t="s">
        <v>4</v>
      </c>
      <c r="C8" s="94">
        <v>8072.56</v>
      </c>
      <c r="D8" s="214">
        <v>8072.56</v>
      </c>
      <c r="F8" s="85">
        <v>100</v>
      </c>
      <c r="G8" s="85" t="s">
        <v>4</v>
      </c>
      <c r="H8" s="94">
        <v>11576</v>
      </c>
      <c r="I8" s="214">
        <v>2648</v>
      </c>
      <c r="K8" s="85">
        <v>100</v>
      </c>
      <c r="L8" s="85" t="s">
        <v>4</v>
      </c>
      <c r="M8" s="80">
        <v>30611</v>
      </c>
      <c r="N8" s="217">
        <v>32021.439999999999</v>
      </c>
      <c r="P8" s="85">
        <v>100</v>
      </c>
      <c r="Q8" s="85" t="s">
        <v>4</v>
      </c>
      <c r="R8" s="80">
        <v>4200</v>
      </c>
      <c r="S8" s="230">
        <v>4200</v>
      </c>
      <c r="T8" s="231"/>
      <c r="U8" s="85">
        <v>100</v>
      </c>
      <c r="V8" s="85" t="s">
        <v>4</v>
      </c>
      <c r="W8" s="80">
        <v>32633.31</v>
      </c>
      <c r="X8" s="217">
        <f>90000</f>
        <v>90000</v>
      </c>
      <c r="Y8">
        <v>64645</v>
      </c>
      <c r="AA8" t="s">
        <v>256</v>
      </c>
      <c r="AB8" t="s">
        <v>304</v>
      </c>
      <c r="AH8" t="s">
        <v>259</v>
      </c>
    </row>
    <row r="9" spans="1:35" x14ac:dyDescent="0.25">
      <c r="A9" s="85">
        <v>200</v>
      </c>
      <c r="B9" s="85" t="s">
        <v>5</v>
      </c>
      <c r="C9" s="80">
        <v>617.54</v>
      </c>
      <c r="D9" s="214">
        <v>617.54</v>
      </c>
      <c r="F9" s="85">
        <v>200</v>
      </c>
      <c r="G9" s="85" t="s">
        <v>5</v>
      </c>
      <c r="H9" s="80">
        <v>815</v>
      </c>
      <c r="I9" s="214">
        <v>271</v>
      </c>
      <c r="K9" s="85">
        <v>200</v>
      </c>
      <c r="L9" s="85" t="s">
        <v>5</v>
      </c>
      <c r="M9" s="80">
        <v>5184</v>
      </c>
      <c r="N9" s="217">
        <v>2652.56</v>
      </c>
      <c r="P9" s="85">
        <v>200</v>
      </c>
      <c r="Q9" s="85" t="s">
        <v>5</v>
      </c>
      <c r="R9" s="80">
        <v>321</v>
      </c>
      <c r="S9" s="214">
        <v>321</v>
      </c>
      <c r="U9" s="85">
        <v>200</v>
      </c>
      <c r="V9" s="85" t="s">
        <v>5</v>
      </c>
      <c r="W9" s="80">
        <v>2446.91</v>
      </c>
      <c r="X9" s="217">
        <v>14134</v>
      </c>
      <c r="Y9">
        <v>5355</v>
      </c>
      <c r="AA9" t="s">
        <v>257</v>
      </c>
      <c r="AB9" t="s">
        <v>305</v>
      </c>
      <c r="AD9" t="s">
        <v>258</v>
      </c>
      <c r="AI9">
        <v>13500</v>
      </c>
    </row>
    <row r="10" spans="1:35" x14ac:dyDescent="0.25">
      <c r="A10" s="85">
        <v>300</v>
      </c>
      <c r="B10" s="85" t="s">
        <v>6</v>
      </c>
      <c r="C10" s="86">
        <v>1300</v>
      </c>
      <c r="D10" s="216">
        <v>1300</v>
      </c>
      <c r="F10" s="85">
        <v>300</v>
      </c>
      <c r="G10" s="85" t="s">
        <v>6</v>
      </c>
      <c r="H10" s="86">
        <v>2620</v>
      </c>
      <c r="I10" s="216">
        <v>4920</v>
      </c>
      <c r="K10" s="85">
        <v>300</v>
      </c>
      <c r="L10" s="85" t="s">
        <v>6</v>
      </c>
      <c r="M10" s="86">
        <v>0</v>
      </c>
      <c r="N10" s="216">
        <v>0</v>
      </c>
      <c r="P10" s="85">
        <v>300</v>
      </c>
      <c r="Q10" s="85" t="s">
        <v>6</v>
      </c>
      <c r="R10" s="86">
        <v>110252</v>
      </c>
      <c r="S10" s="216">
        <v>110252</v>
      </c>
      <c r="U10" s="85">
        <v>300</v>
      </c>
      <c r="V10" s="85" t="s">
        <v>6</v>
      </c>
      <c r="W10" s="86">
        <v>91129.09</v>
      </c>
      <c r="X10" s="218">
        <f>23100+105348-113227</f>
        <v>15221</v>
      </c>
      <c r="Y10">
        <v>35000</v>
      </c>
      <c r="AA10" t="s">
        <v>298</v>
      </c>
      <c r="AB10" t="s">
        <v>297</v>
      </c>
      <c r="AC10" t="s">
        <v>299</v>
      </c>
    </row>
    <row r="11" spans="1:35" x14ac:dyDescent="0.25">
      <c r="A11" s="85">
        <v>400</v>
      </c>
      <c r="B11" s="85" t="s">
        <v>7</v>
      </c>
      <c r="C11" s="86">
        <v>0</v>
      </c>
      <c r="D11" s="216">
        <v>0</v>
      </c>
      <c r="F11" s="85">
        <v>400</v>
      </c>
      <c r="G11" s="85" t="s">
        <v>7</v>
      </c>
      <c r="H11" s="86">
        <v>0</v>
      </c>
      <c r="I11" s="216">
        <v>0</v>
      </c>
      <c r="K11" s="85">
        <v>400</v>
      </c>
      <c r="L11" s="85" t="s">
        <v>7</v>
      </c>
      <c r="M11" s="86">
        <v>0</v>
      </c>
      <c r="N11" s="216">
        <v>0</v>
      </c>
      <c r="P11" s="85">
        <v>400</v>
      </c>
      <c r="Q11" s="85" t="s">
        <v>7</v>
      </c>
      <c r="R11" s="86">
        <v>0</v>
      </c>
      <c r="S11" s="216">
        <v>0</v>
      </c>
      <c r="U11" s="85">
        <v>400</v>
      </c>
      <c r="V11" s="85" t="s">
        <v>7</v>
      </c>
      <c r="W11" s="86">
        <v>0</v>
      </c>
      <c r="X11" s="216">
        <v>0</v>
      </c>
      <c r="AA11" t="s">
        <v>306</v>
      </c>
      <c r="AB11" s="204">
        <v>52900</v>
      </c>
      <c r="AC11" t="s">
        <v>307</v>
      </c>
    </row>
    <row r="12" spans="1:35" x14ac:dyDescent="0.25">
      <c r="A12" s="85">
        <v>500</v>
      </c>
      <c r="B12" s="85" t="s">
        <v>66</v>
      </c>
      <c r="C12" s="80">
        <v>0</v>
      </c>
      <c r="D12" s="214">
        <v>0</v>
      </c>
      <c r="F12" s="85">
        <v>500</v>
      </c>
      <c r="G12" s="85" t="s">
        <v>66</v>
      </c>
      <c r="H12" s="80">
        <v>0</v>
      </c>
      <c r="I12" s="214">
        <v>0</v>
      </c>
      <c r="K12" s="85">
        <v>500</v>
      </c>
      <c r="L12" s="85" t="s">
        <v>66</v>
      </c>
      <c r="M12" s="80">
        <v>0</v>
      </c>
      <c r="N12" s="214">
        <v>0</v>
      </c>
      <c r="P12" s="85">
        <v>500</v>
      </c>
      <c r="Q12" s="85" t="s">
        <v>66</v>
      </c>
      <c r="R12" s="80">
        <v>0</v>
      </c>
      <c r="S12" s="214">
        <v>0</v>
      </c>
      <c r="U12" s="85">
        <v>500</v>
      </c>
      <c r="V12" s="85" t="s">
        <v>66</v>
      </c>
      <c r="W12" s="80">
        <v>0</v>
      </c>
      <c r="X12" s="214">
        <v>0</v>
      </c>
      <c r="Y12">
        <v>20000</v>
      </c>
      <c r="AA12" t="s">
        <v>67</v>
      </c>
    </row>
    <row r="13" spans="1:35" x14ac:dyDescent="0.25">
      <c r="A13" s="85">
        <v>600</v>
      </c>
      <c r="B13" s="85" t="s">
        <v>8</v>
      </c>
      <c r="C13" s="80">
        <v>20.64</v>
      </c>
      <c r="D13" s="214">
        <v>20.64</v>
      </c>
      <c r="F13" s="85">
        <v>600</v>
      </c>
      <c r="G13" s="85" t="s">
        <v>8</v>
      </c>
      <c r="H13" s="80">
        <v>6662</v>
      </c>
      <c r="I13" s="214">
        <v>33121</v>
      </c>
      <c r="K13" s="85">
        <v>600</v>
      </c>
      <c r="L13" s="85" t="s">
        <v>8</v>
      </c>
      <c r="M13" s="80">
        <v>2670</v>
      </c>
      <c r="N13" s="217">
        <f>2670</f>
        <v>2670</v>
      </c>
      <c r="P13" s="85">
        <v>600</v>
      </c>
      <c r="Q13" s="85" t="s">
        <v>8</v>
      </c>
      <c r="R13" s="80">
        <v>12000</v>
      </c>
      <c r="S13" s="214">
        <v>12000</v>
      </c>
      <c r="U13" s="85">
        <v>600</v>
      </c>
      <c r="V13" s="85" t="s">
        <v>8</v>
      </c>
      <c r="W13" s="80">
        <v>54426.91</v>
      </c>
      <c r="X13" s="214">
        <v>89500</v>
      </c>
      <c r="Y13">
        <v>270000</v>
      </c>
      <c r="AA13" t="s">
        <v>226</v>
      </c>
      <c r="AC13" t="s">
        <v>311</v>
      </c>
    </row>
    <row r="14" spans="1:35" x14ac:dyDescent="0.25">
      <c r="A14" s="85">
        <v>700</v>
      </c>
      <c r="B14" s="85" t="s">
        <v>9</v>
      </c>
      <c r="C14" s="86">
        <v>0</v>
      </c>
      <c r="D14" s="216">
        <v>0</v>
      </c>
      <c r="F14" s="85">
        <v>700</v>
      </c>
      <c r="G14" s="85" t="s">
        <v>9</v>
      </c>
      <c r="H14" s="86">
        <v>0</v>
      </c>
      <c r="I14" s="216">
        <v>0</v>
      </c>
      <c r="K14" s="85">
        <v>700</v>
      </c>
      <c r="L14" s="85" t="s">
        <v>9</v>
      </c>
      <c r="M14" s="86">
        <v>0</v>
      </c>
      <c r="N14" s="216">
        <v>0</v>
      </c>
      <c r="P14" s="85">
        <v>700</v>
      </c>
      <c r="Q14" s="85" t="s">
        <v>9</v>
      </c>
      <c r="R14" s="86">
        <v>0</v>
      </c>
      <c r="S14" s="216">
        <v>0</v>
      </c>
      <c r="U14" s="85">
        <v>700</v>
      </c>
      <c r="V14" s="85" t="s">
        <v>9</v>
      </c>
      <c r="W14" s="86">
        <v>65872</v>
      </c>
      <c r="X14" s="216">
        <f>183520+2625</f>
        <v>186145</v>
      </c>
      <c r="AA14" t="s">
        <v>310</v>
      </c>
      <c r="AB14" s="204">
        <v>4000</v>
      </c>
    </row>
    <row r="15" spans="1:35" x14ac:dyDescent="0.25">
      <c r="A15" s="85">
        <v>800</v>
      </c>
      <c r="B15" s="85" t="s">
        <v>199</v>
      </c>
      <c r="C15" s="86">
        <v>293.63</v>
      </c>
      <c r="D15" s="216">
        <v>293.63</v>
      </c>
      <c r="F15" s="85">
        <v>800</v>
      </c>
      <c r="G15" s="85" t="s">
        <v>199</v>
      </c>
      <c r="H15" s="86">
        <v>0</v>
      </c>
      <c r="I15" s="216">
        <v>1773</v>
      </c>
      <c r="K15" s="85">
        <v>800</v>
      </c>
      <c r="L15" s="85" t="s">
        <v>199</v>
      </c>
      <c r="M15" s="86">
        <v>496</v>
      </c>
      <c r="N15" s="216">
        <v>1617</v>
      </c>
      <c r="P15" s="85">
        <v>800</v>
      </c>
      <c r="Q15" s="85" t="s">
        <v>199</v>
      </c>
      <c r="R15" s="86">
        <v>0</v>
      </c>
      <c r="S15" s="216">
        <v>0</v>
      </c>
      <c r="U15" s="85">
        <v>800</v>
      </c>
      <c r="V15" s="85" t="s">
        <v>199</v>
      </c>
      <c r="W15" s="86">
        <v>71100</v>
      </c>
      <c r="X15" s="216">
        <v>71100</v>
      </c>
      <c r="Y15">
        <v>71100</v>
      </c>
      <c r="Z15" s="37">
        <v>0.18</v>
      </c>
      <c r="AA15" t="s">
        <v>308</v>
      </c>
      <c r="AB15" t="s">
        <v>309</v>
      </c>
    </row>
    <row r="16" spans="1:35" ht="15.75" thickBot="1" x14ac:dyDescent="0.3">
      <c r="B16" s="89" t="s">
        <v>123</v>
      </c>
      <c r="C16" s="91">
        <f>SUM(C8:C15)</f>
        <v>10304.369999999999</v>
      </c>
      <c r="D16" s="215">
        <f>SUM(D8:D15)</f>
        <v>10304.369999999999</v>
      </c>
      <c r="G16" s="89" t="s">
        <v>123</v>
      </c>
      <c r="H16" s="91">
        <f>SUM(H8:H15)</f>
        <v>21673</v>
      </c>
      <c r="I16" s="215">
        <f>SUM(I8:I15)</f>
        <v>42733</v>
      </c>
      <c r="L16" s="89" t="s">
        <v>123</v>
      </c>
      <c r="M16" s="91">
        <f>SUM(M8:M15)</f>
        <v>38961</v>
      </c>
      <c r="N16" s="215">
        <f>SUM(N8:N15)</f>
        <v>38961</v>
      </c>
      <c r="Q16" s="89" t="s">
        <v>123</v>
      </c>
      <c r="R16" s="91">
        <f>SUM(R8:R15)</f>
        <v>126773</v>
      </c>
      <c r="S16" s="215">
        <f>SUM(S8:S15)</f>
        <v>126773</v>
      </c>
      <c r="V16" s="89" t="s">
        <v>123</v>
      </c>
      <c r="W16" s="91">
        <f>SUM(W8:W15)</f>
        <v>317608.21999999997</v>
      </c>
      <c r="X16" s="215">
        <f>SUM(X8:X15)</f>
        <v>466100</v>
      </c>
      <c r="Y16">
        <f>SUM(Y8:Y15)</f>
        <v>466100</v>
      </c>
    </row>
    <row r="17" spans="2:29" ht="15.75" thickTop="1" x14ac:dyDescent="0.25">
      <c r="C17" s="94"/>
      <c r="D17" s="217"/>
      <c r="H17" s="94"/>
      <c r="I17" s="217"/>
      <c r="M17" s="94"/>
      <c r="N17" s="217"/>
      <c r="R17" s="94"/>
      <c r="S17" s="217"/>
      <c r="W17" s="94"/>
      <c r="X17" s="217"/>
      <c r="AB17" t="s">
        <v>296</v>
      </c>
    </row>
    <row r="18" spans="2:29" ht="15.75" thickBot="1" x14ac:dyDescent="0.3">
      <c r="B18" s="89" t="s">
        <v>200</v>
      </c>
      <c r="C18" s="105">
        <f>+C5-C16</f>
        <v>0</v>
      </c>
      <c r="D18" s="105">
        <f>+D5-D16</f>
        <v>0</v>
      </c>
      <c r="G18" s="89" t="s">
        <v>200</v>
      </c>
      <c r="H18" s="105">
        <f>+H5-H16</f>
        <v>-21673</v>
      </c>
      <c r="I18" s="105">
        <f>+I5-I16</f>
        <v>0</v>
      </c>
      <c r="L18" s="89" t="s">
        <v>200</v>
      </c>
      <c r="M18" s="229">
        <f>+M5-M16</f>
        <v>0</v>
      </c>
      <c r="N18" s="105">
        <f>+N5-N16</f>
        <v>0</v>
      </c>
      <c r="Q18" s="89" t="s">
        <v>200</v>
      </c>
      <c r="R18" s="105">
        <f>+R5-R16</f>
        <v>0</v>
      </c>
      <c r="S18" s="105">
        <f>+S5-S16</f>
        <v>0</v>
      </c>
      <c r="V18" s="89" t="s">
        <v>200</v>
      </c>
      <c r="W18" s="105">
        <f>+W5-W16</f>
        <v>-204381.21999999997</v>
      </c>
      <c r="X18" s="105">
        <f>+X5-X16</f>
        <v>113227</v>
      </c>
      <c r="AB18">
        <v>50800</v>
      </c>
    </row>
    <row r="19" spans="2:29" ht="15.75" thickTop="1" x14ac:dyDescent="0.25">
      <c r="AB19">
        <v>500</v>
      </c>
    </row>
    <row r="20" spans="2:29" x14ac:dyDescent="0.25">
      <c r="H20" t="s">
        <v>222</v>
      </c>
      <c r="M20" t="s">
        <v>207</v>
      </c>
      <c r="W20" s="134">
        <f>X4-W16</f>
        <v>261718.78000000003</v>
      </c>
      <c r="X20" t="s">
        <v>302</v>
      </c>
      <c r="AB20">
        <v>7500</v>
      </c>
    </row>
    <row r="21" spans="2:29" x14ac:dyDescent="0.25">
      <c r="M21" t="s">
        <v>272</v>
      </c>
      <c r="AB21">
        <v>3750</v>
      </c>
    </row>
    <row r="22" spans="2:29" x14ac:dyDescent="0.25">
      <c r="H22" t="s">
        <v>255</v>
      </c>
      <c r="M22" t="s">
        <v>208</v>
      </c>
      <c r="W22" t="s">
        <v>303</v>
      </c>
      <c r="AB22">
        <v>6000</v>
      </c>
    </row>
    <row r="23" spans="2:29" x14ac:dyDescent="0.25">
      <c r="H23" t="s">
        <v>275</v>
      </c>
      <c r="M23" t="s">
        <v>206</v>
      </c>
      <c r="N23" t="s">
        <v>209</v>
      </c>
      <c r="R23">
        <v>6800</v>
      </c>
      <c r="S23" t="s">
        <v>273</v>
      </c>
      <c r="T23" t="s">
        <v>274</v>
      </c>
      <c r="AB23">
        <v>7500</v>
      </c>
    </row>
    <row r="24" spans="2:29" x14ac:dyDescent="0.25">
      <c r="H24" t="s">
        <v>286</v>
      </c>
      <c r="AB24">
        <v>4500</v>
      </c>
    </row>
    <row r="25" spans="2:29" x14ac:dyDescent="0.25">
      <c r="H25" t="s">
        <v>287</v>
      </c>
    </row>
    <row r="26" spans="2:29" x14ac:dyDescent="0.25">
      <c r="H26" t="s">
        <v>301</v>
      </c>
    </row>
    <row r="27" spans="2:29" x14ac:dyDescent="0.25">
      <c r="AB27" s="254" t="s">
        <v>201</v>
      </c>
      <c r="AC27" s="254"/>
    </row>
    <row r="28" spans="2:29" x14ac:dyDescent="0.25">
      <c r="AB28" s="254" t="s">
        <v>205</v>
      </c>
      <c r="AC28" s="254"/>
    </row>
    <row r="30" spans="2:29" x14ac:dyDescent="0.25">
      <c r="AB30" s="80">
        <v>113227</v>
      </c>
      <c r="AC30" s="214">
        <f>113227+466100</f>
        <v>579327</v>
      </c>
    </row>
    <row r="31" spans="2:29" ht="15.75" thickBot="1" x14ac:dyDescent="0.3">
      <c r="AB31" s="91">
        <f>SUM(AB30:AB30)</f>
        <v>113227</v>
      </c>
      <c r="AC31" s="215">
        <f>SUM(AC30:AC30)</f>
        <v>579327</v>
      </c>
    </row>
    <row r="32" spans="2:29" ht="15.75" thickTop="1" x14ac:dyDescent="0.25">
      <c r="AB32" s="212"/>
      <c r="AC32" s="212"/>
    </row>
    <row r="33" spans="1:32" x14ac:dyDescent="0.25">
      <c r="C33" s="250" t="s">
        <v>218</v>
      </c>
      <c r="D33" s="250"/>
      <c r="H33" s="250" t="s">
        <v>220</v>
      </c>
      <c r="I33" s="250"/>
      <c r="M33" s="255" t="s">
        <v>221</v>
      </c>
      <c r="N33" s="255"/>
      <c r="R33" s="252" t="s">
        <v>195</v>
      </c>
      <c r="S33" s="252"/>
      <c r="W33" s="252" t="s">
        <v>223</v>
      </c>
      <c r="X33" s="252"/>
      <c r="AB33" s="99"/>
      <c r="AC33" s="99"/>
    </row>
    <row r="34" spans="1:32" x14ac:dyDescent="0.25">
      <c r="C34" s="251" t="s">
        <v>215</v>
      </c>
      <c r="D34" s="251"/>
      <c r="H34" s="251" t="s">
        <v>215</v>
      </c>
      <c r="I34" s="251"/>
      <c r="M34" s="253" t="s">
        <v>215</v>
      </c>
      <c r="N34" s="253"/>
      <c r="R34" s="253" t="s">
        <v>215</v>
      </c>
      <c r="S34" s="253"/>
      <c r="W34" s="253" t="s">
        <v>215</v>
      </c>
      <c r="X34" s="253"/>
      <c r="AB34" s="80">
        <v>0</v>
      </c>
      <c r="AC34" s="217">
        <f>90000</f>
        <v>90000</v>
      </c>
    </row>
    <row r="35" spans="1:32" x14ac:dyDescent="0.25">
      <c r="C35" s="219" t="s">
        <v>203</v>
      </c>
      <c r="D35" s="219" t="s">
        <v>116</v>
      </c>
      <c r="H35" s="219" t="s">
        <v>203</v>
      </c>
      <c r="I35" s="219" t="s">
        <v>116</v>
      </c>
      <c r="M35" s="219" t="s">
        <v>203</v>
      </c>
      <c r="N35" s="219" t="s">
        <v>116</v>
      </c>
      <c r="R35" s="219" t="s">
        <v>203</v>
      </c>
      <c r="S35" s="219" t="s">
        <v>116</v>
      </c>
      <c r="W35" s="219" t="s">
        <v>203</v>
      </c>
      <c r="X35" s="219" t="s">
        <v>116</v>
      </c>
      <c r="AB35" s="80">
        <v>0</v>
      </c>
      <c r="AC35" s="217">
        <v>14134</v>
      </c>
    </row>
    <row r="36" spans="1:32" x14ac:dyDescent="0.25">
      <c r="A36" s="85">
        <v>4000</v>
      </c>
      <c r="B36" s="85" t="s">
        <v>198</v>
      </c>
      <c r="C36" s="80">
        <v>12820</v>
      </c>
      <c r="D36" s="214">
        <v>12820</v>
      </c>
      <c r="F36" s="85">
        <v>4000</v>
      </c>
      <c r="G36" s="85" t="s">
        <v>198</v>
      </c>
      <c r="H36" s="80">
        <v>6214</v>
      </c>
      <c r="I36" s="214">
        <v>6214</v>
      </c>
      <c r="K36" s="85">
        <v>4000</v>
      </c>
      <c r="L36" s="85" t="s">
        <v>198</v>
      </c>
      <c r="M36" s="80">
        <v>13860</v>
      </c>
      <c r="N36" s="214">
        <v>13860</v>
      </c>
      <c r="P36" s="85">
        <v>4000</v>
      </c>
      <c r="Q36" s="85" t="s">
        <v>198</v>
      </c>
      <c r="R36" s="80">
        <v>9600</v>
      </c>
      <c r="S36" s="214">
        <v>9600</v>
      </c>
      <c r="U36" s="85">
        <v>4000</v>
      </c>
      <c r="V36" s="85" t="s">
        <v>198</v>
      </c>
      <c r="W36" s="80">
        <v>22000</v>
      </c>
      <c r="X36" s="214">
        <v>22000</v>
      </c>
      <c r="AB36" s="86">
        <v>0</v>
      </c>
      <c r="AC36" s="218">
        <f>23100+105348-113227</f>
        <v>15221</v>
      </c>
    </row>
    <row r="37" spans="1:32" ht="15.75" thickBot="1" x14ac:dyDescent="0.3">
      <c r="B37" s="89" t="s">
        <v>120</v>
      </c>
      <c r="C37" s="91">
        <f>SUM(C36:C36)</f>
        <v>12820</v>
      </c>
      <c r="D37" s="215">
        <f>SUM(D36:D36)</f>
        <v>12820</v>
      </c>
      <c r="G37" s="89" t="s">
        <v>120</v>
      </c>
      <c r="H37" s="91">
        <f>SUM(H36:H36)</f>
        <v>6214</v>
      </c>
      <c r="I37" s="215">
        <f>SUM(I36:I36)</f>
        <v>6214</v>
      </c>
      <c r="L37" s="89" t="s">
        <v>120</v>
      </c>
      <c r="M37" s="91">
        <f>SUM(M36:M36)</f>
        <v>13860</v>
      </c>
      <c r="N37" s="215">
        <f>SUM(N36:N36)</f>
        <v>13860</v>
      </c>
      <c r="Q37" s="89" t="s">
        <v>120</v>
      </c>
      <c r="R37" s="91">
        <f>SUM(R36:R36)</f>
        <v>9600</v>
      </c>
      <c r="S37" s="215">
        <f>SUM(S36:S36)</f>
        <v>9600</v>
      </c>
      <c r="V37" s="89" t="s">
        <v>120</v>
      </c>
      <c r="W37" s="91">
        <f>SUM(W36:W36)</f>
        <v>22000</v>
      </c>
      <c r="X37" s="215">
        <f>SUM(X36:X36)</f>
        <v>22000</v>
      </c>
      <c r="AB37" s="86">
        <v>0</v>
      </c>
      <c r="AC37" s="216">
        <v>0</v>
      </c>
    </row>
    <row r="38" spans="1:32" ht="15.75" thickTop="1" x14ac:dyDescent="0.25">
      <c r="C38" s="212"/>
      <c r="D38" s="212"/>
      <c r="H38" s="212"/>
      <c r="I38" s="212"/>
      <c r="M38" s="212"/>
      <c r="N38" s="212"/>
      <c r="R38" s="212"/>
      <c r="S38" s="212"/>
      <c r="W38" s="212"/>
      <c r="X38" s="212"/>
      <c r="AB38" s="80">
        <v>0</v>
      </c>
      <c r="AC38" s="214">
        <v>0</v>
      </c>
    </row>
    <row r="39" spans="1:32" x14ac:dyDescent="0.25">
      <c r="C39" s="99"/>
      <c r="D39" s="99"/>
      <c r="H39" s="99"/>
      <c r="I39" s="99"/>
      <c r="M39" s="99"/>
      <c r="N39" s="99"/>
      <c r="R39" s="99"/>
      <c r="S39" s="99"/>
      <c r="W39" s="99"/>
      <c r="X39" s="99"/>
      <c r="AB39" s="80">
        <v>0</v>
      </c>
      <c r="AC39" s="214">
        <v>89500</v>
      </c>
      <c r="AE39" t="s">
        <v>312</v>
      </c>
    </row>
    <row r="40" spans="1:32" x14ac:dyDescent="0.25">
      <c r="A40" s="85">
        <v>100</v>
      </c>
      <c r="B40" s="85" t="s">
        <v>4</v>
      </c>
      <c r="C40" s="221"/>
      <c r="D40" s="222"/>
      <c r="F40" s="85">
        <v>100</v>
      </c>
      <c r="G40" s="85" t="s">
        <v>4</v>
      </c>
      <c r="H40" s="94">
        <v>0</v>
      </c>
      <c r="I40" s="214">
        <v>0</v>
      </c>
      <c r="K40" s="85">
        <v>100</v>
      </c>
      <c r="L40" s="85" t="s">
        <v>4</v>
      </c>
      <c r="M40" s="94">
        <v>0</v>
      </c>
      <c r="N40" s="214">
        <v>0</v>
      </c>
      <c r="P40" s="85">
        <v>100</v>
      </c>
      <c r="Q40" s="85" t="s">
        <v>4</v>
      </c>
      <c r="R40" s="94">
        <v>0</v>
      </c>
      <c r="S40" s="214">
        <v>0</v>
      </c>
      <c r="U40" s="85">
        <v>100</v>
      </c>
      <c r="V40" s="85" t="s">
        <v>4</v>
      </c>
      <c r="W40" s="94">
        <v>0</v>
      </c>
      <c r="X40" s="214">
        <v>0</v>
      </c>
      <c r="AB40" s="86">
        <v>113227</v>
      </c>
      <c r="AC40" s="216">
        <f>183520+2625</f>
        <v>186145</v>
      </c>
      <c r="AE40">
        <v>179099</v>
      </c>
    </row>
    <row r="41" spans="1:32" x14ac:dyDescent="0.25">
      <c r="A41" s="85">
        <v>200</v>
      </c>
      <c r="B41" s="85" t="s">
        <v>5</v>
      </c>
      <c r="C41" s="221"/>
      <c r="D41" s="222"/>
      <c r="F41" s="85">
        <v>200</v>
      </c>
      <c r="G41" s="85" t="s">
        <v>5</v>
      </c>
      <c r="H41" s="80">
        <v>0</v>
      </c>
      <c r="I41" s="214">
        <v>0</v>
      </c>
      <c r="K41" s="85">
        <v>200</v>
      </c>
      <c r="L41" s="85" t="s">
        <v>5</v>
      </c>
      <c r="M41" s="80">
        <v>0</v>
      </c>
      <c r="N41" s="214">
        <v>0</v>
      </c>
      <c r="P41" s="85">
        <v>200</v>
      </c>
      <c r="Q41" s="85" t="s">
        <v>5</v>
      </c>
      <c r="R41" s="80">
        <v>0</v>
      </c>
      <c r="S41" s="214">
        <v>0</v>
      </c>
      <c r="U41" s="85">
        <v>200</v>
      </c>
      <c r="V41" s="85" t="s">
        <v>5</v>
      </c>
      <c r="W41" s="80">
        <v>0</v>
      </c>
      <c r="X41" s="214">
        <v>0</v>
      </c>
      <c r="AB41" s="86">
        <v>0</v>
      </c>
      <c r="AC41" s="216">
        <v>71100</v>
      </c>
      <c r="AE41">
        <v>65872</v>
      </c>
    </row>
    <row r="42" spans="1:32" ht="15.75" thickBot="1" x14ac:dyDescent="0.3">
      <c r="A42" s="85">
        <v>300</v>
      </c>
      <c r="B42" s="85" t="s">
        <v>6</v>
      </c>
      <c r="C42" s="86">
        <v>0</v>
      </c>
      <c r="D42" s="216">
        <v>0</v>
      </c>
      <c r="F42" s="85">
        <v>300</v>
      </c>
      <c r="G42" s="85" t="s">
        <v>6</v>
      </c>
      <c r="H42" s="86">
        <v>0</v>
      </c>
      <c r="I42" s="216">
        <v>0</v>
      </c>
      <c r="K42" s="85">
        <v>300</v>
      </c>
      <c r="L42" s="85" t="s">
        <v>6</v>
      </c>
      <c r="M42" s="86">
        <v>0</v>
      </c>
      <c r="N42" s="216">
        <v>0</v>
      </c>
      <c r="P42" s="85">
        <v>300</v>
      </c>
      <c r="Q42" s="85" t="s">
        <v>6</v>
      </c>
      <c r="R42" s="86">
        <v>0</v>
      </c>
      <c r="S42" s="216">
        <v>0</v>
      </c>
      <c r="U42" s="85">
        <v>300</v>
      </c>
      <c r="V42" s="85" t="s">
        <v>6</v>
      </c>
      <c r="W42" s="86">
        <v>0</v>
      </c>
      <c r="X42" s="216">
        <v>0</v>
      </c>
      <c r="AB42" s="91">
        <f>SUM(AB34:AB41)</f>
        <v>113227</v>
      </c>
      <c r="AC42" s="215">
        <f>SUM(AC34:AC41)</f>
        <v>466100</v>
      </c>
    </row>
    <row r="43" spans="1:32" ht="15.75" thickTop="1" x14ac:dyDescent="0.25">
      <c r="A43" s="85">
        <v>400</v>
      </c>
      <c r="B43" s="85" t="s">
        <v>7</v>
      </c>
      <c r="C43" s="86">
        <v>0</v>
      </c>
      <c r="D43" s="216">
        <v>0</v>
      </c>
      <c r="F43" s="85">
        <v>400</v>
      </c>
      <c r="G43" s="85" t="s">
        <v>7</v>
      </c>
      <c r="H43" s="86">
        <v>2111</v>
      </c>
      <c r="I43" s="216">
        <v>2111</v>
      </c>
      <c r="K43" s="85">
        <v>400</v>
      </c>
      <c r="L43" s="85" t="s">
        <v>7</v>
      </c>
      <c r="M43" s="86">
        <v>0</v>
      </c>
      <c r="N43" s="216">
        <v>0</v>
      </c>
      <c r="P43" s="85">
        <v>400</v>
      </c>
      <c r="Q43" s="85" t="s">
        <v>7</v>
      </c>
      <c r="R43" s="86">
        <v>0</v>
      </c>
      <c r="S43" s="216">
        <v>0</v>
      </c>
      <c r="U43" s="85">
        <v>400</v>
      </c>
      <c r="V43" s="85" t="s">
        <v>7</v>
      </c>
      <c r="W43" s="86">
        <v>0</v>
      </c>
      <c r="X43" s="216">
        <v>0</v>
      </c>
      <c r="AB43" s="94"/>
      <c r="AC43" s="217"/>
    </row>
    <row r="44" spans="1:32" ht="15.75" thickBot="1" x14ac:dyDescent="0.3">
      <c r="A44" s="85">
        <v>500</v>
      </c>
      <c r="B44" s="85" t="s">
        <v>66</v>
      </c>
      <c r="C44" s="80">
        <v>0</v>
      </c>
      <c r="D44" s="214">
        <v>0</v>
      </c>
      <c r="F44" s="85">
        <v>500</v>
      </c>
      <c r="G44" s="85" t="s">
        <v>66</v>
      </c>
      <c r="H44" s="80">
        <v>0</v>
      </c>
      <c r="I44" s="214">
        <v>0</v>
      </c>
      <c r="K44" s="85">
        <v>500</v>
      </c>
      <c r="L44" s="85" t="s">
        <v>66</v>
      </c>
      <c r="M44" s="80">
        <v>0</v>
      </c>
      <c r="N44" s="214">
        <v>0</v>
      </c>
      <c r="P44" s="85">
        <v>500</v>
      </c>
      <c r="Q44" s="85" t="s">
        <v>66</v>
      </c>
      <c r="R44" s="80">
        <v>0</v>
      </c>
      <c r="S44" s="214">
        <v>0</v>
      </c>
      <c r="U44" s="85">
        <v>500</v>
      </c>
      <c r="V44" s="85" t="s">
        <v>66</v>
      </c>
      <c r="W44" s="80">
        <v>0</v>
      </c>
      <c r="X44" s="214">
        <v>0</v>
      </c>
      <c r="AB44" s="105">
        <f>+AB31-AB42</f>
        <v>0</v>
      </c>
      <c r="AC44" s="105">
        <f>+AC31-AC42</f>
        <v>113227</v>
      </c>
    </row>
    <row r="45" spans="1:32" ht="15.75" thickTop="1" x14ac:dyDescent="0.25">
      <c r="A45" s="85">
        <v>600</v>
      </c>
      <c r="B45" s="85" t="s">
        <v>8</v>
      </c>
      <c r="C45" s="80">
        <f>5476+2704</f>
        <v>8180</v>
      </c>
      <c r="D45" s="214">
        <v>8180</v>
      </c>
      <c r="E45" t="s">
        <v>232</v>
      </c>
      <c r="F45" s="85">
        <v>600</v>
      </c>
      <c r="G45" s="85" t="s">
        <v>8</v>
      </c>
      <c r="H45" s="80">
        <v>4103</v>
      </c>
      <c r="I45" s="214">
        <v>4103</v>
      </c>
      <c r="K45" s="85">
        <v>600</v>
      </c>
      <c r="L45" s="85" t="s">
        <v>8</v>
      </c>
      <c r="M45" s="80">
        <v>0</v>
      </c>
      <c r="N45" s="214">
        <v>0</v>
      </c>
      <c r="P45" s="85">
        <v>600</v>
      </c>
      <c r="Q45" s="85" t="s">
        <v>8</v>
      </c>
      <c r="R45" s="80">
        <v>9600</v>
      </c>
      <c r="S45" s="214">
        <v>9600</v>
      </c>
      <c r="T45" t="s">
        <v>231</v>
      </c>
      <c r="U45" s="85">
        <v>600</v>
      </c>
      <c r="V45" s="85" t="s">
        <v>8</v>
      </c>
      <c r="W45" s="80">
        <v>0</v>
      </c>
      <c r="X45" s="214">
        <v>0</v>
      </c>
    </row>
    <row r="46" spans="1:32" x14ac:dyDescent="0.25">
      <c r="A46" s="85">
        <v>700</v>
      </c>
      <c r="B46" s="85" t="s">
        <v>9</v>
      </c>
      <c r="C46" s="86">
        <v>4640</v>
      </c>
      <c r="D46" s="216">
        <v>4640</v>
      </c>
      <c r="E46" t="s">
        <v>240</v>
      </c>
      <c r="F46" s="85">
        <v>700</v>
      </c>
      <c r="G46" s="85" t="s">
        <v>9</v>
      </c>
      <c r="H46" s="86">
        <v>0</v>
      </c>
      <c r="I46" s="216">
        <v>0</v>
      </c>
      <c r="K46" s="85">
        <v>700</v>
      </c>
      <c r="L46" s="85" t="s">
        <v>9</v>
      </c>
      <c r="M46" s="86">
        <v>13860</v>
      </c>
      <c r="N46" s="216">
        <v>13860</v>
      </c>
      <c r="P46" s="85">
        <v>700</v>
      </c>
      <c r="Q46" s="85" t="s">
        <v>9</v>
      </c>
      <c r="R46" s="86">
        <v>0</v>
      </c>
      <c r="S46" s="216">
        <v>0</v>
      </c>
      <c r="U46" s="85">
        <v>700</v>
      </c>
      <c r="V46" s="85" t="s">
        <v>9</v>
      </c>
      <c r="W46" s="86">
        <v>0</v>
      </c>
      <c r="X46" s="216">
        <v>0</v>
      </c>
    </row>
    <row r="47" spans="1:32" x14ac:dyDescent="0.25">
      <c r="A47" s="85">
        <v>800</v>
      </c>
      <c r="B47" s="85" t="s">
        <v>199</v>
      </c>
      <c r="C47" s="86">
        <v>0</v>
      </c>
      <c r="D47" s="216">
        <v>0</v>
      </c>
      <c r="E47" t="s">
        <v>219</v>
      </c>
      <c r="F47" s="85">
        <v>800</v>
      </c>
      <c r="G47" s="85" t="s">
        <v>199</v>
      </c>
      <c r="H47" s="86">
        <v>0</v>
      </c>
      <c r="I47" s="216">
        <v>0</v>
      </c>
      <c r="J47" t="s">
        <v>219</v>
      </c>
      <c r="K47" s="85">
        <v>800</v>
      </c>
      <c r="L47" s="85" t="s">
        <v>199</v>
      </c>
      <c r="M47" s="86">
        <v>0</v>
      </c>
      <c r="N47" s="216">
        <v>0</v>
      </c>
      <c r="O47" t="s">
        <v>219</v>
      </c>
      <c r="P47" s="85">
        <v>800</v>
      </c>
      <c r="Q47" s="85" t="s">
        <v>199</v>
      </c>
      <c r="R47" s="86">
        <v>0</v>
      </c>
      <c r="S47" s="216">
        <v>0</v>
      </c>
      <c r="T47" t="s">
        <v>219</v>
      </c>
      <c r="U47" s="85">
        <v>800</v>
      </c>
      <c r="V47" s="85" t="s">
        <v>199</v>
      </c>
      <c r="W47" s="86">
        <v>0</v>
      </c>
      <c r="X47" s="216">
        <v>0</v>
      </c>
      <c r="Y47" t="s">
        <v>219</v>
      </c>
      <c r="AC47">
        <v>3000</v>
      </c>
      <c r="AE47" t="s">
        <v>317</v>
      </c>
      <c r="AF47" t="s">
        <v>318</v>
      </c>
    </row>
    <row r="48" spans="1:32" ht="15.75" thickBot="1" x14ac:dyDescent="0.3">
      <c r="B48" s="89" t="s">
        <v>123</v>
      </c>
      <c r="C48" s="91">
        <f>SUM(C40:C47)</f>
        <v>12820</v>
      </c>
      <c r="D48" s="215">
        <f>SUM(D40:D47)</f>
        <v>12820</v>
      </c>
      <c r="G48" s="89" t="s">
        <v>123</v>
      </c>
      <c r="H48" s="91">
        <f>SUM(H40:H47)</f>
        <v>6214</v>
      </c>
      <c r="I48" s="215">
        <f>SUM(I40:I47)</f>
        <v>6214</v>
      </c>
      <c r="L48" s="89" t="s">
        <v>123</v>
      </c>
      <c r="M48" s="91">
        <f>SUM(M40:M47)</f>
        <v>13860</v>
      </c>
      <c r="N48" s="215">
        <f>SUM(N40:N47)</f>
        <v>13860</v>
      </c>
      <c r="Q48" s="89" t="s">
        <v>123</v>
      </c>
      <c r="R48" s="91">
        <f>SUM(R40:R47)</f>
        <v>9600</v>
      </c>
      <c r="S48" s="215">
        <f>SUM(S40:S47)</f>
        <v>9600</v>
      </c>
      <c r="V48" s="89" t="s">
        <v>123</v>
      </c>
      <c r="W48" s="91">
        <f>SUM(W40:W47)</f>
        <v>0</v>
      </c>
      <c r="X48" s="215">
        <f>SUM(X40:X47)</f>
        <v>0</v>
      </c>
      <c r="AC48">
        <f>3000*0.15</f>
        <v>450</v>
      </c>
      <c r="AE48" t="s">
        <v>319</v>
      </c>
    </row>
    <row r="49" spans="2:32" ht="15.75" thickTop="1" x14ac:dyDescent="0.25">
      <c r="C49" s="94"/>
      <c r="D49" s="217"/>
      <c r="H49" s="94"/>
      <c r="I49" s="217"/>
      <c r="M49" s="94"/>
      <c r="N49" s="217"/>
      <c r="R49" s="94"/>
      <c r="S49" s="217"/>
      <c r="W49" s="94"/>
      <c r="X49" s="217"/>
      <c r="AC49">
        <f>8000+6400</f>
        <v>14400</v>
      </c>
      <c r="AE49" t="s">
        <v>315</v>
      </c>
      <c r="AF49" t="s">
        <v>316</v>
      </c>
    </row>
    <row r="50" spans="2:32" ht="15.75" thickBot="1" x14ac:dyDescent="0.3">
      <c r="B50" s="89" t="s">
        <v>200</v>
      </c>
      <c r="C50" s="105">
        <f>+C37-C48</f>
        <v>0</v>
      </c>
      <c r="D50" s="105">
        <f>+D37-D48</f>
        <v>0</v>
      </c>
      <c r="G50" s="89" t="s">
        <v>200</v>
      </c>
      <c r="H50" s="105">
        <f>+H37-H48</f>
        <v>0</v>
      </c>
      <c r="I50" s="105">
        <f>+I37-I48</f>
        <v>0</v>
      </c>
      <c r="L50" s="89" t="s">
        <v>200</v>
      </c>
      <c r="M50" s="105">
        <f>+M37-M48</f>
        <v>0</v>
      </c>
      <c r="N50" s="105">
        <f>+N37-N48</f>
        <v>0</v>
      </c>
      <c r="Q50" s="89" t="s">
        <v>200</v>
      </c>
      <c r="R50" s="105">
        <f>+R37-R48</f>
        <v>0</v>
      </c>
      <c r="S50" s="105">
        <f>+S37-S48</f>
        <v>0</v>
      </c>
      <c r="V50" s="89" t="s">
        <v>200</v>
      </c>
      <c r="W50" s="105">
        <f>+W37-W48</f>
        <v>22000</v>
      </c>
      <c r="X50" s="105">
        <f>+X37-X48</f>
        <v>22000</v>
      </c>
      <c r="AC50">
        <f>4162+10000+10000</f>
        <v>24162</v>
      </c>
      <c r="AE50" t="s">
        <v>320</v>
      </c>
      <c r="AF50" t="s">
        <v>323</v>
      </c>
    </row>
    <row r="51" spans="2:32" ht="15.75" thickTop="1" x14ac:dyDescent="0.25">
      <c r="AC51">
        <v>4000</v>
      </c>
      <c r="AE51" t="s">
        <v>321</v>
      </c>
      <c r="AF51" t="s">
        <v>322</v>
      </c>
    </row>
    <row r="52" spans="2:32" x14ac:dyDescent="0.25">
      <c r="C52" t="s">
        <v>228</v>
      </c>
      <c r="E52">
        <v>2704</v>
      </c>
      <c r="H52" t="s">
        <v>229</v>
      </c>
    </row>
    <row r="53" spans="2:32" x14ac:dyDescent="0.25">
      <c r="H53" t="s">
        <v>230</v>
      </c>
      <c r="M53" t="s">
        <v>224</v>
      </c>
      <c r="R53" t="s">
        <v>241</v>
      </c>
    </row>
    <row r="54" spans="2:32" x14ac:dyDescent="0.25">
      <c r="M54" t="s">
        <v>225</v>
      </c>
      <c r="AC54" t="s">
        <v>326</v>
      </c>
    </row>
    <row r="55" spans="2:32" x14ac:dyDescent="0.25">
      <c r="AC55" t="s">
        <v>324</v>
      </c>
    </row>
    <row r="56" spans="2:32" x14ac:dyDescent="0.25">
      <c r="AC56" t="s">
        <v>325</v>
      </c>
    </row>
    <row r="62" spans="2:32" x14ac:dyDescent="0.25">
      <c r="W62" t="s">
        <v>267</v>
      </c>
      <c r="X62">
        <v>5358.72</v>
      </c>
    </row>
    <row r="63" spans="2:32" x14ac:dyDescent="0.25">
      <c r="C63" s="250" t="s">
        <v>245</v>
      </c>
      <c r="D63" s="250"/>
      <c r="E63" t="s">
        <v>247</v>
      </c>
      <c r="H63" s="250" t="s">
        <v>246</v>
      </c>
      <c r="I63" s="250"/>
      <c r="M63" s="250" t="s">
        <v>191</v>
      </c>
      <c r="N63" s="250"/>
      <c r="R63" s="250" t="s">
        <v>292</v>
      </c>
      <c r="S63" s="250"/>
      <c r="W63" s="250" t="s">
        <v>248</v>
      </c>
      <c r="X63" s="250"/>
      <c r="AB63" s="250" t="s">
        <v>249</v>
      </c>
      <c r="AC63" s="250"/>
    </row>
    <row r="64" spans="2:32" x14ac:dyDescent="0.25">
      <c r="C64" s="251" t="s">
        <v>265</v>
      </c>
      <c r="D64" s="251"/>
      <c r="H64" s="251" t="s">
        <v>250</v>
      </c>
      <c r="I64" s="251"/>
      <c r="M64" s="251" t="s">
        <v>250</v>
      </c>
      <c r="N64" s="251"/>
      <c r="R64" s="251" t="s">
        <v>250</v>
      </c>
      <c r="S64" s="251"/>
      <c r="W64" s="251" t="s">
        <v>250</v>
      </c>
      <c r="X64" s="251"/>
      <c r="AB64" s="251" t="s">
        <v>250</v>
      </c>
      <c r="AC64" s="251"/>
    </row>
    <row r="65" spans="1:29" x14ac:dyDescent="0.25">
      <c r="C65" s="225" t="s">
        <v>203</v>
      </c>
      <c r="D65" s="225" t="s">
        <v>116</v>
      </c>
      <c r="H65" s="225" t="s">
        <v>203</v>
      </c>
      <c r="I65" s="225" t="s">
        <v>116</v>
      </c>
      <c r="M65" s="225" t="s">
        <v>203</v>
      </c>
      <c r="N65" s="225" t="s">
        <v>116</v>
      </c>
      <c r="R65" s="228" t="s">
        <v>203</v>
      </c>
      <c r="S65" s="228" t="s">
        <v>116</v>
      </c>
      <c r="W65" s="225" t="s">
        <v>203</v>
      </c>
      <c r="X65" s="225" t="s">
        <v>116</v>
      </c>
      <c r="AB65" s="225" t="s">
        <v>203</v>
      </c>
      <c r="AC65" s="225" t="s">
        <v>116</v>
      </c>
    </row>
    <row r="66" spans="1:29" x14ac:dyDescent="0.25">
      <c r="A66" s="85">
        <v>4000</v>
      </c>
      <c r="B66" s="85" t="s">
        <v>198</v>
      </c>
      <c r="C66" s="80">
        <v>39295</v>
      </c>
      <c r="D66" s="214">
        <v>64956.66</v>
      </c>
      <c r="F66" s="85">
        <v>4000</v>
      </c>
      <c r="G66" s="85" t="s">
        <v>198</v>
      </c>
      <c r="H66" s="80">
        <v>9568</v>
      </c>
      <c r="I66" s="214">
        <v>9568.36</v>
      </c>
      <c r="K66" s="85">
        <v>4000</v>
      </c>
      <c r="L66" s="85" t="s">
        <v>198</v>
      </c>
      <c r="M66" s="80">
        <v>0</v>
      </c>
      <c r="N66" s="214">
        <v>10000</v>
      </c>
      <c r="P66" s="85">
        <v>4000</v>
      </c>
      <c r="Q66" s="85" t="s">
        <v>198</v>
      </c>
      <c r="R66" s="80">
        <v>0</v>
      </c>
      <c r="S66" s="214">
        <v>10000</v>
      </c>
      <c r="U66" s="85">
        <v>4000</v>
      </c>
      <c r="V66" s="85" t="s">
        <v>198</v>
      </c>
      <c r="W66" s="80">
        <v>5359</v>
      </c>
      <c r="X66" s="214">
        <f>95397.57+5358.72</f>
        <v>100756.29000000001</v>
      </c>
      <c r="Z66" s="85">
        <v>4000</v>
      </c>
      <c r="AA66" s="85" t="s">
        <v>198</v>
      </c>
      <c r="AB66" s="80">
        <v>1587</v>
      </c>
      <c r="AC66" s="214">
        <v>1587</v>
      </c>
    </row>
    <row r="67" spans="1:29" ht="15.75" thickBot="1" x14ac:dyDescent="0.3">
      <c r="B67" s="89" t="s">
        <v>120</v>
      </c>
      <c r="C67" s="91">
        <f>SUM(C66:C66)</f>
        <v>39295</v>
      </c>
      <c r="D67" s="215">
        <f>SUM(D66:D66)</f>
        <v>64956.66</v>
      </c>
      <c r="G67" s="89" t="s">
        <v>120</v>
      </c>
      <c r="H67" s="91">
        <f>SUM(H66:H66)</f>
        <v>9568</v>
      </c>
      <c r="I67" s="215">
        <f>SUM(I66:I66)</f>
        <v>9568.36</v>
      </c>
      <c r="L67" s="89" t="s">
        <v>120</v>
      </c>
      <c r="M67" s="91">
        <f>SUM(M66:M66)</f>
        <v>0</v>
      </c>
      <c r="N67" s="215">
        <f>SUM(N66:N66)</f>
        <v>10000</v>
      </c>
      <c r="Q67" s="89" t="s">
        <v>120</v>
      </c>
      <c r="R67" s="91">
        <f>SUM(R66:R66)</f>
        <v>0</v>
      </c>
      <c r="S67" s="215">
        <f>SUM(S66:S66)</f>
        <v>10000</v>
      </c>
      <c r="V67" s="89" t="s">
        <v>120</v>
      </c>
      <c r="W67" s="91">
        <f>SUM(W66:W66)</f>
        <v>5359</v>
      </c>
      <c r="X67" s="215">
        <f>SUM(X66:X66)</f>
        <v>100756.29000000001</v>
      </c>
      <c r="AA67" s="89" t="s">
        <v>120</v>
      </c>
      <c r="AB67" s="91">
        <f>SUM(AB66:AB66)</f>
        <v>1587</v>
      </c>
      <c r="AC67" s="215">
        <f>SUM(AC66:AC66)</f>
        <v>1587</v>
      </c>
    </row>
    <row r="68" spans="1:29" ht="15.75" thickTop="1" x14ac:dyDescent="0.25">
      <c r="C68" s="212"/>
      <c r="D68" s="212"/>
      <c r="H68" s="212"/>
      <c r="I68" s="212"/>
      <c r="M68" s="212"/>
      <c r="N68" s="212"/>
      <c r="R68" s="212"/>
      <c r="S68" s="212"/>
      <c r="W68" s="212"/>
      <c r="X68" s="212"/>
      <c r="AB68" s="212"/>
      <c r="AC68" s="212"/>
    </row>
    <row r="69" spans="1:29" x14ac:dyDescent="0.25">
      <c r="C69" s="99"/>
      <c r="D69" s="99"/>
      <c r="H69" s="99"/>
      <c r="I69" s="99"/>
      <c r="M69" s="99"/>
      <c r="N69" s="99"/>
      <c r="R69" s="99"/>
      <c r="S69" s="99"/>
      <c r="W69" s="99"/>
      <c r="X69" s="99"/>
      <c r="AB69" s="99"/>
      <c r="AC69" s="99"/>
    </row>
    <row r="70" spans="1:29" x14ac:dyDescent="0.25">
      <c r="A70" s="85">
        <v>100</v>
      </c>
      <c r="B70" s="85" t="s">
        <v>4</v>
      </c>
      <c r="C70" s="94">
        <v>45833</v>
      </c>
      <c r="D70" s="217">
        <v>59223.49</v>
      </c>
      <c r="F70" s="85">
        <v>100</v>
      </c>
      <c r="G70" s="85" t="s">
        <v>4</v>
      </c>
      <c r="H70" s="94">
        <v>8750</v>
      </c>
      <c r="I70" s="217">
        <v>8723.84</v>
      </c>
      <c r="K70" s="85">
        <v>100</v>
      </c>
      <c r="L70" s="85" t="s">
        <v>4</v>
      </c>
      <c r="M70" s="94">
        <v>7933.32</v>
      </c>
      <c r="N70" s="217">
        <v>7846.19</v>
      </c>
      <c r="P70" s="85">
        <v>100</v>
      </c>
      <c r="Q70" s="85" t="s">
        <v>4</v>
      </c>
      <c r="R70" s="94">
        <v>9171</v>
      </c>
      <c r="S70" s="217">
        <v>8785.2099999999991</v>
      </c>
      <c r="U70" s="85">
        <v>100</v>
      </c>
      <c r="V70" s="85" t="s">
        <v>4</v>
      </c>
      <c r="W70" s="94">
        <v>38850</v>
      </c>
      <c r="X70" s="217">
        <v>0</v>
      </c>
      <c r="Z70" s="85">
        <v>100</v>
      </c>
      <c r="AA70" s="85" t="s">
        <v>4</v>
      </c>
      <c r="AB70" s="94">
        <v>0</v>
      </c>
      <c r="AC70" s="217">
        <v>0</v>
      </c>
    </row>
    <row r="71" spans="1:29" x14ac:dyDescent="0.25">
      <c r="A71" s="85">
        <v>200</v>
      </c>
      <c r="B71" s="85" t="s">
        <v>5</v>
      </c>
      <c r="C71" s="94">
        <v>5260</v>
      </c>
      <c r="D71" s="217">
        <v>4905.8999999999996</v>
      </c>
      <c r="F71" s="85">
        <v>200</v>
      </c>
      <c r="G71" s="85" t="s">
        <v>5</v>
      </c>
      <c r="H71" s="94">
        <v>696</v>
      </c>
      <c r="I71" s="217">
        <v>722.66</v>
      </c>
      <c r="K71" s="85">
        <v>200</v>
      </c>
      <c r="L71" s="85" t="s">
        <v>5</v>
      </c>
      <c r="M71" s="94">
        <v>606.9</v>
      </c>
      <c r="N71" s="217">
        <v>649.95000000000005</v>
      </c>
      <c r="P71" s="85">
        <v>200</v>
      </c>
      <c r="Q71" s="85" t="s">
        <v>5</v>
      </c>
      <c r="R71" s="94">
        <v>702</v>
      </c>
      <c r="S71" s="217">
        <v>727.73</v>
      </c>
      <c r="U71" s="85">
        <v>200</v>
      </c>
      <c r="V71" s="85" t="s">
        <v>5</v>
      </c>
      <c r="W71" s="94">
        <v>7329</v>
      </c>
      <c r="X71" s="217">
        <v>0</v>
      </c>
      <c r="Z71" s="85">
        <v>200</v>
      </c>
      <c r="AA71" s="85" t="s">
        <v>5</v>
      </c>
      <c r="AB71" s="94">
        <v>0</v>
      </c>
      <c r="AC71" s="217">
        <v>0</v>
      </c>
    </row>
    <row r="72" spans="1:29" x14ac:dyDescent="0.25">
      <c r="A72" s="85">
        <v>300</v>
      </c>
      <c r="B72" s="85" t="s">
        <v>6</v>
      </c>
      <c r="C72" s="86">
        <v>0</v>
      </c>
      <c r="D72" s="216">
        <v>0</v>
      </c>
      <c r="F72" s="85">
        <v>300</v>
      </c>
      <c r="G72" s="85" t="s">
        <v>6</v>
      </c>
      <c r="H72" s="86">
        <v>0</v>
      </c>
      <c r="I72" s="216">
        <v>0</v>
      </c>
      <c r="K72" s="85">
        <v>300</v>
      </c>
      <c r="L72" s="85" t="s">
        <v>6</v>
      </c>
      <c r="M72" s="86">
        <v>0</v>
      </c>
      <c r="N72" s="216">
        <v>0</v>
      </c>
      <c r="P72" s="85">
        <v>300</v>
      </c>
      <c r="Q72" s="85" t="s">
        <v>6</v>
      </c>
      <c r="R72" s="86">
        <v>0</v>
      </c>
      <c r="S72" s="216">
        <v>0</v>
      </c>
      <c r="U72" s="85">
        <v>300</v>
      </c>
      <c r="V72" s="85" t="s">
        <v>6</v>
      </c>
      <c r="W72" s="86">
        <v>33451</v>
      </c>
      <c r="X72" s="216">
        <f>47075.54+5136.31</f>
        <v>52211.85</v>
      </c>
      <c r="Y72">
        <v>39000</v>
      </c>
      <c r="Z72" s="85">
        <v>300</v>
      </c>
      <c r="AA72" s="85" t="s">
        <v>6</v>
      </c>
      <c r="AB72" s="86">
        <v>1567</v>
      </c>
      <c r="AC72" s="216">
        <v>1567</v>
      </c>
    </row>
    <row r="73" spans="1:29" x14ac:dyDescent="0.25">
      <c r="A73" s="85">
        <v>400</v>
      </c>
      <c r="B73" s="85" t="s">
        <v>7</v>
      </c>
      <c r="C73" s="86">
        <v>0</v>
      </c>
      <c r="D73" s="216">
        <v>0</v>
      </c>
      <c r="F73" s="85">
        <v>400</v>
      </c>
      <c r="G73" s="85" t="s">
        <v>7</v>
      </c>
      <c r="H73" s="86">
        <v>0</v>
      </c>
      <c r="I73" s="216">
        <v>0</v>
      </c>
      <c r="K73" s="85">
        <v>400</v>
      </c>
      <c r="L73" s="85" t="s">
        <v>7</v>
      </c>
      <c r="M73" s="86">
        <v>0</v>
      </c>
      <c r="N73" s="216">
        <v>0</v>
      </c>
      <c r="P73" s="85">
        <v>400</v>
      </c>
      <c r="Q73" s="85" t="s">
        <v>7</v>
      </c>
      <c r="R73" s="86">
        <v>0</v>
      </c>
      <c r="S73" s="216">
        <v>0</v>
      </c>
      <c r="U73" s="85">
        <v>400</v>
      </c>
      <c r="V73" s="85" t="s">
        <v>7</v>
      </c>
      <c r="W73" s="86">
        <v>0</v>
      </c>
      <c r="X73" s="216">
        <v>0</v>
      </c>
      <c r="Z73" s="85">
        <v>400</v>
      </c>
      <c r="AA73" s="85" t="s">
        <v>7</v>
      </c>
      <c r="AB73" s="86">
        <v>0</v>
      </c>
      <c r="AC73" s="216">
        <v>0</v>
      </c>
    </row>
    <row r="74" spans="1:29" x14ac:dyDescent="0.25">
      <c r="A74" s="85">
        <v>500</v>
      </c>
      <c r="B74" s="85" t="s">
        <v>66</v>
      </c>
      <c r="C74" s="80">
        <v>0</v>
      </c>
      <c r="D74" s="214">
        <v>0</v>
      </c>
      <c r="F74" s="85">
        <v>500</v>
      </c>
      <c r="G74" s="85" t="s">
        <v>66</v>
      </c>
      <c r="H74" s="80">
        <v>0</v>
      </c>
      <c r="I74" s="214">
        <v>0</v>
      </c>
      <c r="K74" s="85">
        <v>500</v>
      </c>
      <c r="L74" s="85" t="s">
        <v>66</v>
      </c>
      <c r="M74" s="80">
        <v>0</v>
      </c>
      <c r="N74" s="214">
        <v>0</v>
      </c>
      <c r="P74" s="85">
        <v>500</v>
      </c>
      <c r="Q74" s="85" t="s">
        <v>66</v>
      </c>
      <c r="R74" s="80">
        <v>0</v>
      </c>
      <c r="S74" s="214">
        <v>0</v>
      </c>
      <c r="U74" s="85">
        <v>500</v>
      </c>
      <c r="V74" s="85" t="s">
        <v>66</v>
      </c>
      <c r="W74" s="80">
        <v>0</v>
      </c>
      <c r="X74" s="214">
        <v>0</v>
      </c>
      <c r="Z74" s="85">
        <v>500</v>
      </c>
      <c r="AA74" s="85" t="s">
        <v>66</v>
      </c>
      <c r="AB74" s="80">
        <v>0</v>
      </c>
      <c r="AC74" s="214">
        <v>0</v>
      </c>
    </row>
    <row r="75" spans="1:29" x14ac:dyDescent="0.25">
      <c r="A75" s="85">
        <v>600</v>
      </c>
      <c r="B75" s="85" t="s">
        <v>8</v>
      </c>
      <c r="C75" s="80">
        <v>0</v>
      </c>
      <c r="D75" s="214">
        <v>0</v>
      </c>
      <c r="F75" s="85">
        <v>600</v>
      </c>
      <c r="G75" s="85" t="s">
        <v>8</v>
      </c>
      <c r="H75" s="80">
        <v>0</v>
      </c>
      <c r="I75" s="214">
        <v>0</v>
      </c>
      <c r="K75" s="85">
        <v>600</v>
      </c>
      <c r="L75" s="85" t="s">
        <v>8</v>
      </c>
      <c r="M75" s="94">
        <v>1332.42</v>
      </c>
      <c r="N75" s="214">
        <v>1376.5</v>
      </c>
      <c r="P75" s="85">
        <v>600</v>
      </c>
      <c r="Q75" s="85" t="s">
        <v>8</v>
      </c>
      <c r="R75" s="94">
        <v>0</v>
      </c>
      <c r="S75" s="214">
        <v>0</v>
      </c>
      <c r="U75" s="85">
        <v>600</v>
      </c>
      <c r="V75" s="85" t="s">
        <v>8</v>
      </c>
      <c r="W75" s="80">
        <v>0</v>
      </c>
      <c r="X75" s="214">
        <v>0</v>
      </c>
      <c r="Z75" s="85">
        <v>600</v>
      </c>
      <c r="AA75" s="85" t="s">
        <v>8</v>
      </c>
      <c r="AB75" s="80">
        <v>0</v>
      </c>
      <c r="AC75" s="214">
        <v>0</v>
      </c>
    </row>
    <row r="76" spans="1:29" x14ac:dyDescent="0.25">
      <c r="A76" s="85">
        <v>700</v>
      </c>
      <c r="B76" s="85" t="s">
        <v>9</v>
      </c>
      <c r="C76" s="86">
        <v>0</v>
      </c>
      <c r="D76" s="216">
        <v>0</v>
      </c>
      <c r="F76" s="85">
        <v>700</v>
      </c>
      <c r="G76" s="85" t="s">
        <v>9</v>
      </c>
      <c r="H76" s="86">
        <v>0</v>
      </c>
      <c r="I76" s="216">
        <v>0</v>
      </c>
      <c r="K76" s="85">
        <v>700</v>
      </c>
      <c r="L76" s="85" t="s">
        <v>9</v>
      </c>
      <c r="M76" s="86">
        <v>0</v>
      </c>
      <c r="N76" s="216">
        <v>0</v>
      </c>
      <c r="P76" s="85">
        <v>700</v>
      </c>
      <c r="Q76" s="85" t="s">
        <v>9</v>
      </c>
      <c r="R76" s="86">
        <v>0</v>
      </c>
      <c r="S76" s="216">
        <v>0</v>
      </c>
      <c r="U76" s="85">
        <v>700</v>
      </c>
      <c r="V76" s="85" t="s">
        <v>9</v>
      </c>
      <c r="W76" s="86">
        <v>0</v>
      </c>
      <c r="X76" s="216">
        <v>0</v>
      </c>
      <c r="Z76" s="85">
        <v>700</v>
      </c>
      <c r="AA76" s="85" t="s">
        <v>9</v>
      </c>
      <c r="AB76" s="86">
        <v>0</v>
      </c>
      <c r="AC76" s="216">
        <v>0</v>
      </c>
    </row>
    <row r="77" spans="1:29" x14ac:dyDescent="0.25">
      <c r="A77" s="85">
        <v>800</v>
      </c>
      <c r="B77" s="85" t="s">
        <v>199</v>
      </c>
      <c r="C77" s="86">
        <v>500</v>
      </c>
      <c r="D77" s="216">
        <v>827.27</v>
      </c>
      <c r="F77" s="85">
        <v>800</v>
      </c>
      <c r="G77" s="85" t="s">
        <v>199</v>
      </c>
      <c r="H77" s="86">
        <v>122</v>
      </c>
      <c r="I77" s="216">
        <v>121.86</v>
      </c>
      <c r="K77" s="85">
        <v>800</v>
      </c>
      <c r="L77" s="85" t="s">
        <v>199</v>
      </c>
      <c r="M77" s="86">
        <v>127.36</v>
      </c>
      <c r="N77" s="216">
        <v>127.36</v>
      </c>
      <c r="P77" s="85">
        <v>800</v>
      </c>
      <c r="Q77" s="85" t="s">
        <v>199</v>
      </c>
      <c r="R77" s="86">
        <v>127</v>
      </c>
      <c r="S77" s="216">
        <v>487.06</v>
      </c>
      <c r="U77" s="85">
        <v>800</v>
      </c>
      <c r="V77" s="85" t="s">
        <v>199</v>
      </c>
      <c r="W77" s="86">
        <v>1027</v>
      </c>
      <c r="X77" s="216">
        <f>607.27+222.4</f>
        <v>829.67</v>
      </c>
      <c r="Z77" s="85">
        <v>800</v>
      </c>
      <c r="AA77" s="85" t="s">
        <v>199</v>
      </c>
      <c r="AB77" s="86">
        <v>20</v>
      </c>
      <c r="AC77" s="216">
        <v>20</v>
      </c>
    </row>
    <row r="78" spans="1:29" ht="15.75" thickBot="1" x14ac:dyDescent="0.3">
      <c r="B78" s="89" t="s">
        <v>123</v>
      </c>
      <c r="C78" s="91">
        <f>SUM(C70:C77)</f>
        <v>51593</v>
      </c>
      <c r="D78" s="215">
        <f>SUM(D70:D77)</f>
        <v>64956.659999999996</v>
      </c>
      <c r="G78" s="89" t="s">
        <v>123</v>
      </c>
      <c r="H78" s="91">
        <f>SUM(H70:H77)</f>
        <v>9568</v>
      </c>
      <c r="I78" s="215">
        <f>SUM(I70:I77)</f>
        <v>9568.36</v>
      </c>
      <c r="L78" s="89" t="s">
        <v>123</v>
      </c>
      <c r="M78" s="227">
        <f>SUM(M70:M77)</f>
        <v>10000</v>
      </c>
      <c r="N78" s="215">
        <f>SUM(N70:N77)</f>
        <v>10000</v>
      </c>
      <c r="Q78" s="89" t="s">
        <v>123</v>
      </c>
      <c r="R78" s="227">
        <f>SUM(R70:R77)</f>
        <v>10000</v>
      </c>
      <c r="S78" s="215">
        <f>SUM(S70:S77)</f>
        <v>9999.9999999999982</v>
      </c>
      <c r="V78" s="89" t="s">
        <v>123</v>
      </c>
      <c r="W78" s="91">
        <f>SUM(W70:W77)</f>
        <v>80657</v>
      </c>
      <c r="X78" s="215">
        <f>SUM(X70:X77)</f>
        <v>53041.52</v>
      </c>
      <c r="AA78" s="89" t="s">
        <v>123</v>
      </c>
      <c r="AB78" s="91">
        <f>SUM(AB70:AB77)</f>
        <v>1587</v>
      </c>
      <c r="AC78" s="215">
        <f>SUM(AC70:AC77)</f>
        <v>1587</v>
      </c>
    </row>
    <row r="79" spans="1:29" ht="15.75" thickTop="1" x14ac:dyDescent="0.25">
      <c r="C79" s="94"/>
      <c r="D79" s="217"/>
      <c r="H79" s="94"/>
      <c r="I79" s="217"/>
      <c r="M79" s="94"/>
      <c r="N79" s="217"/>
      <c r="R79" s="94"/>
      <c r="S79" s="217"/>
      <c r="W79" s="94"/>
      <c r="X79" s="217"/>
      <c r="AB79" s="94"/>
      <c r="AC79" s="217"/>
    </row>
    <row r="80" spans="1:29" ht="15.75" thickBot="1" x14ac:dyDescent="0.3">
      <c r="B80" s="89" t="s">
        <v>200</v>
      </c>
      <c r="C80" s="105">
        <f>+C67-C78</f>
        <v>-12298</v>
      </c>
      <c r="D80" s="105">
        <f>+D67-D78</f>
        <v>0</v>
      </c>
      <c r="G80" s="89" t="s">
        <v>200</v>
      </c>
      <c r="H80" s="105">
        <f>+H67-H78</f>
        <v>0</v>
      </c>
      <c r="I80" s="105">
        <f>+I67-I78</f>
        <v>0</v>
      </c>
      <c r="L80" s="89" t="s">
        <v>200</v>
      </c>
      <c r="M80" s="105">
        <f>+M67-M78</f>
        <v>-10000</v>
      </c>
      <c r="N80" s="105">
        <f>+N67-N78</f>
        <v>0</v>
      </c>
      <c r="Q80" s="89" t="s">
        <v>200</v>
      </c>
      <c r="R80" s="105">
        <f>+R67-R78</f>
        <v>-10000</v>
      </c>
      <c r="S80" s="105">
        <f>+S67-S78</f>
        <v>0</v>
      </c>
      <c r="V80" s="89" t="s">
        <v>200</v>
      </c>
      <c r="W80" s="105">
        <f>+W67-W78</f>
        <v>-75298</v>
      </c>
      <c r="X80" s="105">
        <f>+X67-X78</f>
        <v>47714.770000000011</v>
      </c>
      <c r="AA80" s="89" t="s">
        <v>200</v>
      </c>
      <c r="AB80" s="105">
        <f>+AB67-AB78</f>
        <v>0</v>
      </c>
      <c r="AC80" s="105">
        <f>+AC67-AC78</f>
        <v>0</v>
      </c>
    </row>
    <row r="81" spans="1:29" ht="15.75" thickTop="1" x14ac:dyDescent="0.25"/>
    <row r="83" spans="1:29" x14ac:dyDescent="0.25">
      <c r="C83" t="s">
        <v>251</v>
      </c>
      <c r="H83" t="s">
        <v>253</v>
      </c>
      <c r="M83" t="s">
        <v>210</v>
      </c>
      <c r="R83" t="s">
        <v>293</v>
      </c>
      <c r="S83" t="s">
        <v>294</v>
      </c>
    </row>
    <row r="84" spans="1:29" x14ac:dyDescent="0.25">
      <c r="M84" t="s">
        <v>266</v>
      </c>
      <c r="N84" s="21" t="s">
        <v>279</v>
      </c>
      <c r="S84" s="21" t="s">
        <v>295</v>
      </c>
      <c r="W84" t="s">
        <v>252</v>
      </c>
    </row>
    <row r="86" spans="1:29" x14ac:dyDescent="0.25">
      <c r="C86" s="250" t="s">
        <v>264</v>
      </c>
      <c r="D86" s="250"/>
      <c r="H86" s="250" t="s">
        <v>268</v>
      </c>
      <c r="I86" s="250"/>
      <c r="M86" s="250" t="s">
        <v>271</v>
      </c>
      <c r="N86" s="250"/>
      <c r="R86" s="250" t="s">
        <v>313</v>
      </c>
      <c r="S86" s="250"/>
      <c r="V86" t="s">
        <v>280</v>
      </c>
      <c r="W86">
        <v>4000</v>
      </c>
      <c r="X86">
        <v>47682.81</v>
      </c>
      <c r="AB86" s="250" t="s">
        <v>288</v>
      </c>
      <c r="AC86" s="250"/>
    </row>
    <row r="87" spans="1:29" x14ac:dyDescent="0.25">
      <c r="C87" s="251" t="s">
        <v>265</v>
      </c>
      <c r="D87" s="251"/>
      <c r="H87" s="251" t="s">
        <v>250</v>
      </c>
      <c r="I87" s="251"/>
      <c r="M87" s="251" t="s">
        <v>250</v>
      </c>
      <c r="N87" s="251"/>
      <c r="R87" s="251" t="s">
        <v>250</v>
      </c>
      <c r="S87" s="251"/>
      <c r="W87">
        <v>100</v>
      </c>
      <c r="X87">
        <v>12950.01</v>
      </c>
      <c r="AB87" s="251" t="s">
        <v>291</v>
      </c>
      <c r="AC87" s="251"/>
    </row>
    <row r="88" spans="1:29" x14ac:dyDescent="0.25">
      <c r="C88" s="226" t="s">
        <v>203</v>
      </c>
      <c r="D88" s="226" t="s">
        <v>116</v>
      </c>
      <c r="H88" s="226" t="s">
        <v>203</v>
      </c>
      <c r="I88" s="226" t="s">
        <v>116</v>
      </c>
      <c r="M88" s="226" t="s">
        <v>203</v>
      </c>
      <c r="N88" s="226" t="s">
        <v>116</v>
      </c>
      <c r="R88" s="234" t="s">
        <v>203</v>
      </c>
      <c r="S88" s="234" t="s">
        <v>116</v>
      </c>
      <c r="W88">
        <v>200</v>
      </c>
      <c r="X88">
        <f>940.19+777+3731.94</f>
        <v>5449.13</v>
      </c>
      <c r="AB88" s="228" t="s">
        <v>203</v>
      </c>
      <c r="AC88" s="228" t="s">
        <v>116</v>
      </c>
    </row>
    <row r="89" spans="1:29" x14ac:dyDescent="0.25">
      <c r="A89" s="85">
        <v>4000</v>
      </c>
      <c r="B89" s="85" t="s">
        <v>198</v>
      </c>
      <c r="C89" s="80">
        <v>0</v>
      </c>
      <c r="D89" s="214">
        <v>1894.65</v>
      </c>
      <c r="F89" s="85">
        <v>4000</v>
      </c>
      <c r="G89" s="85" t="s">
        <v>198</v>
      </c>
      <c r="H89" s="80">
        <v>0</v>
      </c>
      <c r="I89" s="214">
        <v>21918.57</v>
      </c>
      <c r="K89" s="85">
        <v>4000</v>
      </c>
      <c r="L89" s="85" t="s">
        <v>198</v>
      </c>
      <c r="M89" s="80">
        <v>47772</v>
      </c>
      <c r="N89" s="214">
        <v>47772</v>
      </c>
      <c r="P89" s="85">
        <v>4000</v>
      </c>
      <c r="Q89" s="85" t="s">
        <v>198</v>
      </c>
      <c r="R89" s="80">
        <v>9941</v>
      </c>
      <c r="S89" s="214">
        <f>23001+9941</f>
        <v>32942</v>
      </c>
      <c r="W89">
        <v>300</v>
      </c>
      <c r="X89">
        <f>23236.41+6047.26-607.27</f>
        <v>28676.399999999998</v>
      </c>
      <c r="Z89" s="85">
        <v>4000</v>
      </c>
      <c r="AA89" s="85" t="s">
        <v>198</v>
      </c>
      <c r="AB89" s="80">
        <v>0</v>
      </c>
      <c r="AC89" s="214">
        <v>25000</v>
      </c>
    </row>
    <row r="90" spans="1:29" ht="15.75" thickBot="1" x14ac:dyDescent="0.3">
      <c r="B90" s="89" t="s">
        <v>120</v>
      </c>
      <c r="C90" s="91">
        <f>SUM(C89:C89)</f>
        <v>0</v>
      </c>
      <c r="D90" s="215">
        <f>SUM(D89:D89)</f>
        <v>1894.65</v>
      </c>
      <c r="G90" s="89" t="s">
        <v>120</v>
      </c>
      <c r="H90" s="91">
        <f>SUM(H89:H89)</f>
        <v>0</v>
      </c>
      <c r="I90" s="215">
        <f>SUM(I89:I89)</f>
        <v>21918.57</v>
      </c>
      <c r="L90" s="89" t="s">
        <v>120</v>
      </c>
      <c r="M90" s="91">
        <f>SUM(M89:M89)</f>
        <v>47772</v>
      </c>
      <c r="N90" s="215">
        <f>SUM(N89:N89)</f>
        <v>47772</v>
      </c>
      <c r="Q90" s="89" t="s">
        <v>120</v>
      </c>
      <c r="R90" s="91">
        <f>SUM(R89:R89)</f>
        <v>9941</v>
      </c>
      <c r="S90" s="215">
        <f>SUM(S89:S89)</f>
        <v>32942</v>
      </c>
      <c r="W90" t="s">
        <v>283</v>
      </c>
      <c r="X90">
        <v>607.27</v>
      </c>
      <c r="AA90" s="89" t="s">
        <v>120</v>
      </c>
      <c r="AB90" s="91">
        <f>SUM(AB89:AB89)</f>
        <v>0</v>
      </c>
      <c r="AC90" s="215">
        <f>SUM(AC89:AC89)</f>
        <v>25000</v>
      </c>
    </row>
    <row r="91" spans="1:29" ht="15.75" thickTop="1" x14ac:dyDescent="0.25">
      <c r="C91" s="212"/>
      <c r="D91" s="212"/>
      <c r="H91" s="212"/>
      <c r="I91" s="212"/>
      <c r="M91" s="212"/>
      <c r="N91" s="212"/>
      <c r="R91" s="212"/>
      <c r="S91" s="212"/>
      <c r="W91" t="s">
        <v>281</v>
      </c>
      <c r="X91">
        <f>SUM(X87:X90)</f>
        <v>47682.80999999999</v>
      </c>
      <c r="AB91" s="212"/>
      <c r="AC91" s="212"/>
    </row>
    <row r="92" spans="1:29" x14ac:dyDescent="0.25">
      <c r="C92" s="99"/>
      <c r="D92" s="99"/>
      <c r="H92" s="99"/>
      <c r="I92" s="99"/>
      <c r="M92" s="99"/>
      <c r="N92" s="99"/>
      <c r="R92" s="99"/>
      <c r="S92" s="99"/>
      <c r="W92" t="s">
        <v>282</v>
      </c>
      <c r="X92">
        <f>X86-X91</f>
        <v>0</v>
      </c>
      <c r="AB92" s="99"/>
      <c r="AC92" s="99"/>
    </row>
    <row r="93" spans="1:29" x14ac:dyDescent="0.25">
      <c r="A93" s="85">
        <v>100</v>
      </c>
      <c r="B93" s="85" t="s">
        <v>4</v>
      </c>
      <c r="C93" s="94">
        <v>0</v>
      </c>
      <c r="D93" s="217">
        <v>1727.43</v>
      </c>
      <c r="F93" s="85">
        <v>100</v>
      </c>
      <c r="G93" s="85" t="s">
        <v>4</v>
      </c>
      <c r="H93" s="94">
        <v>5000</v>
      </c>
      <c r="I93" s="217">
        <v>4617.5</v>
      </c>
      <c r="K93" s="85">
        <v>100</v>
      </c>
      <c r="L93" s="85" t="s">
        <v>4</v>
      </c>
      <c r="M93" s="94">
        <v>0</v>
      </c>
      <c r="N93" s="217">
        <v>11800</v>
      </c>
      <c r="P93" s="85">
        <v>100</v>
      </c>
      <c r="Q93" s="85" t="s">
        <v>4</v>
      </c>
      <c r="R93" s="94">
        <v>0</v>
      </c>
      <c r="S93" s="217">
        <v>0</v>
      </c>
      <c r="Z93" s="85">
        <v>100</v>
      </c>
      <c r="AA93" s="85" t="s">
        <v>4</v>
      </c>
      <c r="AB93" s="94">
        <v>0</v>
      </c>
      <c r="AC93" s="217">
        <v>0</v>
      </c>
    </row>
    <row r="94" spans="1:29" x14ac:dyDescent="0.25">
      <c r="A94" s="85">
        <v>200</v>
      </c>
      <c r="B94" s="85" t="s">
        <v>5</v>
      </c>
      <c r="C94" s="94">
        <v>0</v>
      </c>
      <c r="D94" s="217">
        <v>143.09</v>
      </c>
      <c r="F94" s="85">
        <v>200</v>
      </c>
      <c r="G94" s="85" t="s">
        <v>5</v>
      </c>
      <c r="H94" s="94">
        <v>383</v>
      </c>
      <c r="I94" s="217">
        <v>382.5</v>
      </c>
      <c r="K94" s="85">
        <v>200</v>
      </c>
      <c r="L94" s="85" t="s">
        <v>5</v>
      </c>
      <c r="M94" s="94">
        <v>0</v>
      </c>
      <c r="N94" s="217">
        <v>922</v>
      </c>
      <c r="P94" s="85">
        <v>200</v>
      </c>
      <c r="Q94" s="85" t="s">
        <v>5</v>
      </c>
      <c r="R94" s="94">
        <v>0</v>
      </c>
      <c r="S94" s="217">
        <v>0</v>
      </c>
      <c r="Z94" s="85">
        <v>200</v>
      </c>
      <c r="AA94" s="85" t="s">
        <v>5</v>
      </c>
      <c r="AB94" s="94">
        <v>0</v>
      </c>
      <c r="AC94" s="217">
        <v>0</v>
      </c>
    </row>
    <row r="95" spans="1:29" x14ac:dyDescent="0.25">
      <c r="A95" s="85">
        <v>300</v>
      </c>
      <c r="B95" s="85" t="s">
        <v>6</v>
      </c>
      <c r="C95" s="86">
        <v>0</v>
      </c>
      <c r="D95" s="216">
        <v>0</v>
      </c>
      <c r="F95" s="85">
        <v>300</v>
      </c>
      <c r="G95" s="85" t="s">
        <v>6</v>
      </c>
      <c r="H95" s="86">
        <v>0</v>
      </c>
      <c r="I95" s="216">
        <v>0</v>
      </c>
      <c r="K95" s="85">
        <v>300</v>
      </c>
      <c r="L95" s="85" t="s">
        <v>6</v>
      </c>
      <c r="M95" s="86">
        <v>35050</v>
      </c>
      <c r="N95" s="216">
        <v>35050</v>
      </c>
      <c r="P95" s="85">
        <v>300</v>
      </c>
      <c r="Q95" s="85" t="s">
        <v>6</v>
      </c>
      <c r="R95" s="86">
        <v>26235</v>
      </c>
      <c r="S95" s="216">
        <v>22581</v>
      </c>
      <c r="Z95" s="85">
        <v>300</v>
      </c>
      <c r="AA95" s="85" t="s">
        <v>6</v>
      </c>
      <c r="AB95" s="86">
        <v>0</v>
      </c>
      <c r="AC95" s="216">
        <v>24681.61</v>
      </c>
    </row>
    <row r="96" spans="1:29" x14ac:dyDescent="0.25">
      <c r="A96" s="85">
        <v>400</v>
      </c>
      <c r="B96" s="85" t="s">
        <v>7</v>
      </c>
      <c r="C96" s="86">
        <v>0</v>
      </c>
      <c r="D96" s="216">
        <v>0</v>
      </c>
      <c r="F96" s="85">
        <v>400</v>
      </c>
      <c r="G96" s="85" t="s">
        <v>7</v>
      </c>
      <c r="H96" s="86">
        <v>0</v>
      </c>
      <c r="I96" s="216">
        <v>0</v>
      </c>
      <c r="K96" s="85">
        <v>400</v>
      </c>
      <c r="L96" s="85" t="s">
        <v>7</v>
      </c>
      <c r="M96" s="86">
        <v>0</v>
      </c>
      <c r="N96" s="216">
        <v>0</v>
      </c>
      <c r="P96" s="85">
        <v>400</v>
      </c>
      <c r="Q96" s="85" t="s">
        <v>7</v>
      </c>
      <c r="R96" s="86">
        <v>0</v>
      </c>
      <c r="S96" s="216">
        <v>0</v>
      </c>
      <c r="Z96" s="85">
        <v>400</v>
      </c>
      <c r="AA96" s="85" t="s">
        <v>7</v>
      </c>
      <c r="AB96" s="86">
        <v>0</v>
      </c>
      <c r="AC96" s="216">
        <v>0</v>
      </c>
    </row>
    <row r="97" spans="1:29" x14ac:dyDescent="0.25">
      <c r="A97" s="85">
        <v>500</v>
      </c>
      <c r="B97" s="85" t="s">
        <v>66</v>
      </c>
      <c r="C97" s="80">
        <v>0</v>
      </c>
      <c r="D97" s="214">
        <v>0</v>
      </c>
      <c r="F97" s="85">
        <v>500</v>
      </c>
      <c r="G97" s="85" t="s">
        <v>66</v>
      </c>
      <c r="H97" s="80">
        <v>0</v>
      </c>
      <c r="I97" s="214">
        <v>0</v>
      </c>
      <c r="K97" s="85">
        <v>500</v>
      </c>
      <c r="L97" s="85" t="s">
        <v>66</v>
      </c>
      <c r="M97" s="80">
        <v>0</v>
      </c>
      <c r="N97" s="214">
        <v>0</v>
      </c>
      <c r="P97" s="85">
        <v>500</v>
      </c>
      <c r="Q97" s="85" t="s">
        <v>66</v>
      </c>
      <c r="R97" s="80">
        <v>0</v>
      </c>
      <c r="S97" s="214">
        <v>0</v>
      </c>
      <c r="Z97" s="85">
        <v>500</v>
      </c>
      <c r="AA97" s="85" t="s">
        <v>66</v>
      </c>
      <c r="AB97" s="80">
        <v>0</v>
      </c>
      <c r="AC97" s="214">
        <v>0</v>
      </c>
    </row>
    <row r="98" spans="1:29" x14ac:dyDescent="0.25">
      <c r="A98" s="85">
        <v>600</v>
      </c>
      <c r="B98" s="85" t="s">
        <v>8</v>
      </c>
      <c r="C98" s="80">
        <v>0</v>
      </c>
      <c r="D98" s="214">
        <v>0</v>
      </c>
      <c r="F98" s="85">
        <v>600</v>
      </c>
      <c r="G98" s="85" t="s">
        <v>8</v>
      </c>
      <c r="H98" s="80">
        <v>16860</v>
      </c>
      <c r="I98" s="214">
        <v>16918.57</v>
      </c>
      <c r="K98" s="85">
        <v>600</v>
      </c>
      <c r="L98" s="85" t="s">
        <v>8</v>
      </c>
      <c r="M98" s="80">
        <v>0</v>
      </c>
      <c r="N98" s="214">
        <v>0</v>
      </c>
      <c r="P98" s="85">
        <v>600</v>
      </c>
      <c r="Q98" s="85" t="s">
        <v>8</v>
      </c>
      <c r="R98" s="80">
        <v>0</v>
      </c>
      <c r="S98" s="214">
        <v>0</v>
      </c>
      <c r="Z98" s="85">
        <v>600</v>
      </c>
      <c r="AA98" s="85" t="s">
        <v>8</v>
      </c>
      <c r="AB98" s="80">
        <v>0</v>
      </c>
      <c r="AC98" s="214">
        <v>0</v>
      </c>
    </row>
    <row r="99" spans="1:29" x14ac:dyDescent="0.25">
      <c r="A99" s="85">
        <v>700</v>
      </c>
      <c r="B99" s="85" t="s">
        <v>9</v>
      </c>
      <c r="C99" s="86">
        <v>0</v>
      </c>
      <c r="D99" s="216">
        <v>0</v>
      </c>
      <c r="F99" s="85">
        <v>700</v>
      </c>
      <c r="G99" s="85" t="s">
        <v>9</v>
      </c>
      <c r="H99" s="86">
        <v>0</v>
      </c>
      <c r="I99" s="216">
        <v>0</v>
      </c>
      <c r="K99" s="85">
        <v>700</v>
      </c>
      <c r="L99" s="85" t="s">
        <v>9</v>
      </c>
      <c r="M99" s="86">
        <v>0</v>
      </c>
      <c r="N99" s="216">
        <v>0</v>
      </c>
      <c r="P99" s="85">
        <v>700</v>
      </c>
      <c r="Q99" s="85" t="s">
        <v>9</v>
      </c>
      <c r="R99" s="86">
        <v>0</v>
      </c>
      <c r="S99" s="216">
        <v>0</v>
      </c>
      <c r="Z99" s="85">
        <v>700</v>
      </c>
      <c r="AA99" s="85" t="s">
        <v>9</v>
      </c>
      <c r="AB99" s="86">
        <v>0</v>
      </c>
      <c r="AC99" s="216">
        <v>0</v>
      </c>
    </row>
    <row r="100" spans="1:29" x14ac:dyDescent="0.25">
      <c r="A100" s="85">
        <v>800</v>
      </c>
      <c r="B100" s="85" t="s">
        <v>199</v>
      </c>
      <c r="C100" s="86">
        <v>0</v>
      </c>
      <c r="D100" s="216">
        <v>24.13</v>
      </c>
      <c r="F100" s="85">
        <v>800</v>
      </c>
      <c r="G100" s="85" t="s">
        <v>199</v>
      </c>
      <c r="H100" s="86">
        <v>0</v>
      </c>
      <c r="I100" s="216">
        <v>0</v>
      </c>
      <c r="K100" s="85">
        <v>800</v>
      </c>
      <c r="L100" s="85" t="s">
        <v>199</v>
      </c>
      <c r="M100" s="86">
        <v>0</v>
      </c>
      <c r="N100" s="216">
        <v>0</v>
      </c>
      <c r="P100" s="85">
        <v>800</v>
      </c>
      <c r="Q100" s="85" t="s">
        <v>314</v>
      </c>
      <c r="R100" s="86">
        <v>420</v>
      </c>
      <c r="S100" s="216">
        <v>420</v>
      </c>
      <c r="Z100" s="85">
        <v>800</v>
      </c>
      <c r="AA100" s="85" t="s">
        <v>199</v>
      </c>
      <c r="AB100" s="86">
        <v>0</v>
      </c>
      <c r="AC100" s="216">
        <v>318.39</v>
      </c>
    </row>
    <row r="101" spans="1:29" ht="15.75" thickBot="1" x14ac:dyDescent="0.3">
      <c r="B101" s="89" t="s">
        <v>123</v>
      </c>
      <c r="C101" s="91">
        <f>SUM(C93:C100)</f>
        <v>0</v>
      </c>
      <c r="D101" s="215">
        <f>SUM(D93:D100)</f>
        <v>1894.65</v>
      </c>
      <c r="G101" s="89" t="s">
        <v>123</v>
      </c>
      <c r="H101" s="91">
        <f>SUM(H93:H100)</f>
        <v>22243</v>
      </c>
      <c r="I101" s="215">
        <f>SUM(I93:I100)</f>
        <v>21918.57</v>
      </c>
      <c r="L101" s="89" t="s">
        <v>123</v>
      </c>
      <c r="M101" s="91">
        <f>SUM(M93:M100)</f>
        <v>35050</v>
      </c>
      <c r="N101" s="215">
        <f>SUM(N93:N100)</f>
        <v>47772</v>
      </c>
      <c r="Q101" s="89" t="s">
        <v>123</v>
      </c>
      <c r="R101" s="91">
        <f>SUM(R93:R100)</f>
        <v>26655</v>
      </c>
      <c r="S101" s="215">
        <f>SUM(S93:S100)</f>
        <v>23001</v>
      </c>
      <c r="AA101" s="89" t="s">
        <v>123</v>
      </c>
      <c r="AB101" s="91">
        <f>SUM(AB93:AB100)</f>
        <v>0</v>
      </c>
      <c r="AC101" s="215">
        <f>SUM(AC93:AC100)</f>
        <v>25000</v>
      </c>
    </row>
    <row r="102" spans="1:29" ht="15.75" thickTop="1" x14ac:dyDescent="0.25">
      <c r="C102" s="94"/>
      <c r="D102" s="217"/>
      <c r="H102" s="94"/>
      <c r="I102" s="217"/>
      <c r="M102" s="94"/>
      <c r="N102" s="217"/>
      <c r="R102" s="94"/>
      <c r="S102" s="217"/>
      <c r="AB102" s="94"/>
      <c r="AC102" s="217"/>
    </row>
    <row r="103" spans="1:29" ht="15.75" thickBot="1" x14ac:dyDescent="0.3">
      <c r="B103" s="89" t="s">
        <v>200</v>
      </c>
      <c r="C103" s="105">
        <f>+C90-C101</f>
        <v>0</v>
      </c>
      <c r="D103" s="105">
        <f>+D90-D101</f>
        <v>0</v>
      </c>
      <c r="G103" s="89" t="s">
        <v>200</v>
      </c>
      <c r="H103" s="105">
        <f>+H90-H101</f>
        <v>-22243</v>
      </c>
      <c r="I103" s="105">
        <f>+I90-I101</f>
        <v>0</v>
      </c>
      <c r="L103" s="89" t="s">
        <v>200</v>
      </c>
      <c r="M103" s="105">
        <f>+M90-M101</f>
        <v>12722</v>
      </c>
      <c r="N103" s="105">
        <f>+N90-N101</f>
        <v>0</v>
      </c>
      <c r="Q103" s="89" t="s">
        <v>200</v>
      </c>
      <c r="R103" s="105">
        <f>+R90-R101</f>
        <v>-16714</v>
      </c>
      <c r="S103" s="105">
        <f>+S90-S101</f>
        <v>9941</v>
      </c>
      <c r="AA103" s="89" t="s">
        <v>200</v>
      </c>
      <c r="AB103" s="105">
        <f>+AB90-AB101</f>
        <v>0</v>
      </c>
      <c r="AC103" s="105">
        <f>+AC90-AC101</f>
        <v>0</v>
      </c>
    </row>
    <row r="104" spans="1:29" ht="15.75" thickTop="1" x14ac:dyDescent="0.25"/>
    <row r="106" spans="1:29" x14ac:dyDescent="0.25">
      <c r="C106" t="s">
        <v>251</v>
      </c>
      <c r="H106" t="s">
        <v>270</v>
      </c>
      <c r="M106" t="s">
        <v>276</v>
      </c>
      <c r="N106" t="s">
        <v>290</v>
      </c>
    </row>
    <row r="107" spans="1:29" x14ac:dyDescent="0.25">
      <c r="H107" t="s">
        <v>254</v>
      </c>
      <c r="M107" t="s">
        <v>277</v>
      </c>
      <c r="AB107" t="s">
        <v>289</v>
      </c>
    </row>
    <row r="108" spans="1:29" x14ac:dyDescent="0.25">
      <c r="H108" t="s">
        <v>269</v>
      </c>
      <c r="M108" t="s">
        <v>278</v>
      </c>
    </row>
  </sheetData>
  <mergeCells count="44">
    <mergeCell ref="AB27:AC27"/>
    <mergeCell ref="AB28:AC28"/>
    <mergeCell ref="AB86:AC86"/>
    <mergeCell ref="AB87:AC87"/>
    <mergeCell ref="M34:N34"/>
    <mergeCell ref="R63:S63"/>
    <mergeCell ref="R64:S64"/>
    <mergeCell ref="W63:X63"/>
    <mergeCell ref="W64:X64"/>
    <mergeCell ref="AB63:AC63"/>
    <mergeCell ref="AB64:AC64"/>
    <mergeCell ref="M33:N33"/>
    <mergeCell ref="W33:X33"/>
    <mergeCell ref="W34:X34"/>
    <mergeCell ref="R86:S86"/>
    <mergeCell ref="R87:S87"/>
    <mergeCell ref="W1:X1"/>
    <mergeCell ref="W2:X2"/>
    <mergeCell ref="C1:D1"/>
    <mergeCell ref="C2:D2"/>
    <mergeCell ref="M1:N1"/>
    <mergeCell ref="M2:N2"/>
    <mergeCell ref="R1:S1"/>
    <mergeCell ref="R2:S2"/>
    <mergeCell ref="H1:I1"/>
    <mergeCell ref="H2:I2"/>
    <mergeCell ref="C33:D33"/>
    <mergeCell ref="C34:D34"/>
    <mergeCell ref="H33:I33"/>
    <mergeCell ref="H34:I34"/>
    <mergeCell ref="R33:S33"/>
    <mergeCell ref="R34:S34"/>
    <mergeCell ref="C63:D63"/>
    <mergeCell ref="C64:D64"/>
    <mergeCell ref="H63:I63"/>
    <mergeCell ref="H64:I64"/>
    <mergeCell ref="M63:N63"/>
    <mergeCell ref="M64:N64"/>
    <mergeCell ref="C86:D86"/>
    <mergeCell ref="C87:D87"/>
    <mergeCell ref="H86:I86"/>
    <mergeCell ref="H87:I87"/>
    <mergeCell ref="M86:N86"/>
    <mergeCell ref="M87:N87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C109"/>
  <sheetViews>
    <sheetView topLeftCell="A32" workbookViewId="0">
      <selection activeCell="L37" sqref="K37:L37"/>
    </sheetView>
  </sheetViews>
  <sheetFormatPr defaultRowHeight="15" x14ac:dyDescent="0.25"/>
  <cols>
    <col min="1" max="1" width="5" bestFit="1" customWidth="1"/>
    <col min="2" max="2" width="23.7109375" bestFit="1" customWidth="1"/>
    <col min="3" max="4" width="10.7109375" customWidth="1"/>
    <col min="5" max="5" width="3" bestFit="1" customWidth="1"/>
    <col min="6" max="6" width="5" bestFit="1" customWidth="1"/>
    <col min="7" max="7" width="23.7109375" bestFit="1" customWidth="1"/>
    <col min="8" max="9" width="10.7109375" customWidth="1"/>
    <col min="12" max="14" width="10.7109375" customWidth="1"/>
    <col min="18" max="19" width="10.7109375" customWidth="1"/>
    <col min="23" max="24" width="10.7109375" customWidth="1"/>
    <col min="28" max="29" width="10.7109375" customWidth="1"/>
  </cols>
  <sheetData>
    <row r="2" spans="3:20" x14ac:dyDescent="0.25">
      <c r="I2" t="s">
        <v>296</v>
      </c>
      <c r="L2" t="s">
        <v>260</v>
      </c>
      <c r="P2" t="s">
        <v>300</v>
      </c>
    </row>
    <row r="3" spans="3:20" x14ac:dyDescent="0.25">
      <c r="I3">
        <v>50800</v>
      </c>
      <c r="L3" t="s">
        <v>256</v>
      </c>
      <c r="M3" t="s">
        <v>304</v>
      </c>
      <c r="S3" t="s">
        <v>259</v>
      </c>
    </row>
    <row r="4" spans="3:20" x14ac:dyDescent="0.25">
      <c r="I4">
        <v>500</v>
      </c>
      <c r="L4" t="s">
        <v>257</v>
      </c>
      <c r="M4" t="s">
        <v>305</v>
      </c>
      <c r="O4" t="s">
        <v>258</v>
      </c>
      <c r="T4">
        <v>13500</v>
      </c>
    </row>
    <row r="5" spans="3:20" x14ac:dyDescent="0.25">
      <c r="I5">
        <v>7500</v>
      </c>
      <c r="L5" t="s">
        <v>298</v>
      </c>
      <c r="M5" t="s">
        <v>297</v>
      </c>
      <c r="N5" t="s">
        <v>299</v>
      </c>
    </row>
    <row r="6" spans="3:20" x14ac:dyDescent="0.25">
      <c r="I6">
        <v>3750</v>
      </c>
      <c r="L6" t="s">
        <v>354</v>
      </c>
      <c r="M6" s="204">
        <v>51400</v>
      </c>
      <c r="N6" t="s">
        <v>307</v>
      </c>
    </row>
    <row r="7" spans="3:20" x14ac:dyDescent="0.25">
      <c r="I7">
        <v>6000</v>
      </c>
      <c r="L7" t="s">
        <v>67</v>
      </c>
    </row>
    <row r="8" spans="3:20" x14ac:dyDescent="0.25">
      <c r="I8">
        <v>7500</v>
      </c>
      <c r="L8" t="s">
        <v>226</v>
      </c>
      <c r="N8" t="s">
        <v>311</v>
      </c>
    </row>
    <row r="9" spans="3:20" x14ac:dyDescent="0.25">
      <c r="I9">
        <v>4500</v>
      </c>
      <c r="L9" t="s">
        <v>310</v>
      </c>
      <c r="M9" s="204">
        <v>4000</v>
      </c>
    </row>
    <row r="10" spans="3:20" x14ac:dyDescent="0.25">
      <c r="L10" t="s">
        <v>308</v>
      </c>
      <c r="M10" t="s">
        <v>309</v>
      </c>
    </row>
    <row r="12" spans="3:20" x14ac:dyDescent="0.25">
      <c r="L12" t="s">
        <v>359</v>
      </c>
    </row>
    <row r="16" spans="3:20" x14ac:dyDescent="0.25">
      <c r="C16" s="252" t="s">
        <v>201</v>
      </c>
      <c r="D16" s="252"/>
      <c r="H16" s="254" t="s">
        <v>201</v>
      </c>
      <c r="I16" s="254"/>
      <c r="M16" s="256" t="s">
        <v>201</v>
      </c>
      <c r="N16" s="256"/>
    </row>
    <row r="17" spans="1:15" x14ac:dyDescent="0.25">
      <c r="C17" s="252" t="s">
        <v>204</v>
      </c>
      <c r="D17" s="252"/>
      <c r="H17" s="254" t="s">
        <v>205</v>
      </c>
      <c r="I17" s="254"/>
      <c r="M17" s="256" t="s">
        <v>334</v>
      </c>
      <c r="N17" s="256"/>
    </row>
    <row r="19" spans="1:15" x14ac:dyDescent="0.25">
      <c r="A19" s="85">
        <v>3000</v>
      </c>
      <c r="B19" s="85" t="s">
        <v>202</v>
      </c>
      <c r="C19" s="80">
        <v>126773</v>
      </c>
      <c r="D19" s="214">
        <v>126773</v>
      </c>
      <c r="F19" s="85">
        <v>3000</v>
      </c>
      <c r="G19" s="85" t="s">
        <v>202</v>
      </c>
      <c r="H19" s="80">
        <v>437810.52</v>
      </c>
      <c r="I19" s="214">
        <v>437810.52</v>
      </c>
      <c r="K19" s="85">
        <v>3000</v>
      </c>
      <c r="L19" s="85" t="s">
        <v>202</v>
      </c>
      <c r="M19" s="80">
        <v>0</v>
      </c>
      <c r="N19" s="214">
        <v>141516.18</v>
      </c>
    </row>
    <row r="20" spans="1:15" ht="15.75" thickBot="1" x14ac:dyDescent="0.3">
      <c r="B20" s="89" t="s">
        <v>120</v>
      </c>
      <c r="C20" s="91">
        <f>SUM(C19:C19)</f>
        <v>126773</v>
      </c>
      <c r="D20" s="215">
        <f>SUM(D19:D19)</f>
        <v>126773</v>
      </c>
      <c r="G20" s="89" t="s">
        <v>120</v>
      </c>
      <c r="H20" s="91">
        <f>SUM(H19:H19)</f>
        <v>437810.52</v>
      </c>
      <c r="I20" s="215">
        <f>SUM(I19:I19)</f>
        <v>437810.52</v>
      </c>
      <c r="L20" s="89" t="s">
        <v>120</v>
      </c>
      <c r="M20" s="91">
        <f>SUM(M19:M19)</f>
        <v>0</v>
      </c>
      <c r="N20" s="215">
        <f>SUM(N19:N19)</f>
        <v>141516.18</v>
      </c>
    </row>
    <row r="21" spans="1:15" ht="15.75" thickTop="1" x14ac:dyDescent="0.25">
      <c r="C21" s="212"/>
      <c r="D21" s="212"/>
      <c r="H21" s="212"/>
      <c r="I21" s="212"/>
      <c r="M21" s="212"/>
      <c r="N21" s="212"/>
    </row>
    <row r="22" spans="1:15" x14ac:dyDescent="0.25">
      <c r="C22" s="99"/>
      <c r="D22" s="99"/>
      <c r="H22" s="99"/>
      <c r="I22" s="99"/>
      <c r="J22" t="s">
        <v>227</v>
      </c>
      <c r="M22" s="99"/>
      <c r="N22" s="99"/>
    </row>
    <row r="23" spans="1:15" x14ac:dyDescent="0.25">
      <c r="A23" s="85">
        <v>100</v>
      </c>
      <c r="B23" s="85" t="s">
        <v>4</v>
      </c>
      <c r="C23" s="80">
        <v>4200</v>
      </c>
      <c r="D23" s="230">
        <v>4200</v>
      </c>
      <c r="E23" s="231"/>
      <c r="F23" s="85">
        <v>100</v>
      </c>
      <c r="G23" s="85" t="s">
        <v>4</v>
      </c>
      <c r="H23" s="80">
        <v>54207.96</v>
      </c>
      <c r="I23" s="217">
        <v>54207.96</v>
      </c>
      <c r="J23">
        <v>64645</v>
      </c>
      <c r="K23" s="85">
        <v>100</v>
      </c>
      <c r="L23" s="85" t="s">
        <v>4</v>
      </c>
      <c r="M23" s="80">
        <v>36517</v>
      </c>
      <c r="N23" s="217">
        <f>51400</f>
        <v>51400</v>
      </c>
    </row>
    <row r="24" spans="1:15" x14ac:dyDescent="0.25">
      <c r="A24" s="85">
        <v>200</v>
      </c>
      <c r="B24" s="85" t="s">
        <v>5</v>
      </c>
      <c r="C24" s="80">
        <v>321</v>
      </c>
      <c r="D24" s="214">
        <v>321</v>
      </c>
      <c r="F24" s="85">
        <v>200</v>
      </c>
      <c r="G24" s="85" t="s">
        <v>5</v>
      </c>
      <c r="H24" s="80">
        <v>10420.77</v>
      </c>
      <c r="I24" s="217">
        <v>10420.77</v>
      </c>
      <c r="J24">
        <v>5355</v>
      </c>
      <c r="K24" s="85">
        <v>200</v>
      </c>
      <c r="L24" s="85" t="s">
        <v>5</v>
      </c>
      <c r="M24" s="80">
        <v>2691</v>
      </c>
      <c r="N24" s="217">
        <f>10280</f>
        <v>10280</v>
      </c>
    </row>
    <row r="25" spans="1:15" x14ac:dyDescent="0.25">
      <c r="A25" s="85">
        <v>300</v>
      </c>
      <c r="B25" s="85" t="s">
        <v>6</v>
      </c>
      <c r="C25" s="86">
        <v>110252</v>
      </c>
      <c r="D25" s="216">
        <v>110252</v>
      </c>
      <c r="F25" s="85">
        <v>300</v>
      </c>
      <c r="G25" s="85" t="s">
        <v>6</v>
      </c>
      <c r="H25" s="86">
        <v>132366.56</v>
      </c>
      <c r="I25" s="216">
        <v>132366.56</v>
      </c>
      <c r="J25">
        <v>35000</v>
      </c>
      <c r="K25" s="85">
        <v>300</v>
      </c>
      <c r="L25" s="85" t="s">
        <v>6</v>
      </c>
      <c r="M25" s="86">
        <v>24812</v>
      </c>
      <c r="N25" s="216">
        <v>0</v>
      </c>
      <c r="O25" t="s">
        <v>355</v>
      </c>
    </row>
    <row r="26" spans="1:15" x14ac:dyDescent="0.25">
      <c r="A26" s="85">
        <v>400</v>
      </c>
      <c r="B26" s="85" t="s">
        <v>7</v>
      </c>
      <c r="C26" s="86">
        <v>0</v>
      </c>
      <c r="D26" s="216">
        <v>0</v>
      </c>
      <c r="F26" s="85">
        <v>400</v>
      </c>
      <c r="G26" s="85" t="s">
        <v>7</v>
      </c>
      <c r="H26" s="86">
        <v>0</v>
      </c>
      <c r="I26" s="216">
        <v>0</v>
      </c>
      <c r="K26" s="85">
        <v>400</v>
      </c>
      <c r="L26" s="85" t="s">
        <v>7</v>
      </c>
      <c r="M26" s="86">
        <v>0</v>
      </c>
      <c r="N26" s="216">
        <v>0</v>
      </c>
    </row>
    <row r="27" spans="1:15" x14ac:dyDescent="0.25">
      <c r="A27" s="85">
        <v>500</v>
      </c>
      <c r="B27" s="85" t="s">
        <v>66</v>
      </c>
      <c r="C27" s="80">
        <v>0</v>
      </c>
      <c r="D27" s="214">
        <v>0</v>
      </c>
      <c r="F27" s="85">
        <v>500</v>
      </c>
      <c r="G27" s="85" t="s">
        <v>66</v>
      </c>
      <c r="H27" s="80">
        <v>0</v>
      </c>
      <c r="I27" s="214">
        <v>0</v>
      </c>
      <c r="J27">
        <v>20000</v>
      </c>
      <c r="K27" s="85">
        <v>500</v>
      </c>
      <c r="L27" s="85" t="s">
        <v>66</v>
      </c>
      <c r="M27" s="80">
        <v>0</v>
      </c>
      <c r="N27" s="214">
        <v>0</v>
      </c>
    </row>
    <row r="28" spans="1:15" x14ac:dyDescent="0.25">
      <c r="A28" s="85">
        <v>600</v>
      </c>
      <c r="B28" s="85" t="s">
        <v>8</v>
      </c>
      <c r="C28" s="80">
        <v>12000</v>
      </c>
      <c r="D28" s="214">
        <v>12000</v>
      </c>
      <c r="F28" s="85">
        <v>600</v>
      </c>
      <c r="G28" s="85" t="s">
        <v>8</v>
      </c>
      <c r="H28" s="80">
        <v>236618.16</v>
      </c>
      <c r="I28" s="214">
        <v>236618.16</v>
      </c>
      <c r="J28">
        <v>270000</v>
      </c>
      <c r="K28" s="85">
        <v>600</v>
      </c>
      <c r="L28" s="85" t="s">
        <v>8</v>
      </c>
      <c r="M28" s="80">
        <v>26425</v>
      </c>
      <c r="N28" s="214">
        <v>0</v>
      </c>
    </row>
    <row r="29" spans="1:15" x14ac:dyDescent="0.25">
      <c r="A29" s="85">
        <v>700</v>
      </c>
      <c r="B29" s="85" t="s">
        <v>9</v>
      </c>
      <c r="C29" s="86">
        <v>0</v>
      </c>
      <c r="D29" s="216">
        <v>0</v>
      </c>
      <c r="F29" s="85">
        <v>700</v>
      </c>
      <c r="G29" s="85" t="s">
        <v>9</v>
      </c>
      <c r="H29" s="86">
        <v>0</v>
      </c>
      <c r="I29" s="216">
        <v>0</v>
      </c>
      <c r="K29" s="85">
        <v>700</v>
      </c>
      <c r="L29" s="85" t="s">
        <v>9</v>
      </c>
      <c r="M29" s="86">
        <v>8671</v>
      </c>
      <c r="N29" s="216">
        <v>0</v>
      </c>
    </row>
    <row r="30" spans="1:15" x14ac:dyDescent="0.25">
      <c r="A30" s="85">
        <v>800</v>
      </c>
      <c r="B30" s="85" t="s">
        <v>199</v>
      </c>
      <c r="C30" s="86">
        <v>0</v>
      </c>
      <c r="D30" s="216">
        <v>0</v>
      </c>
      <c r="F30" s="85">
        <v>800</v>
      </c>
      <c r="G30" s="85" t="s">
        <v>199</v>
      </c>
      <c r="H30" s="86">
        <v>4197.07</v>
      </c>
      <c r="I30" s="216">
        <v>4197.07</v>
      </c>
      <c r="J30">
        <v>71100</v>
      </c>
      <c r="K30" s="85">
        <v>800</v>
      </c>
      <c r="L30" s="85" t="s">
        <v>199</v>
      </c>
      <c r="M30" s="86">
        <v>0</v>
      </c>
      <c r="N30" s="216">
        <v>0</v>
      </c>
    </row>
    <row r="31" spans="1:15" ht="15.75" thickBot="1" x14ac:dyDescent="0.3">
      <c r="B31" s="89" t="s">
        <v>123</v>
      </c>
      <c r="C31" s="91">
        <f>SUM(C23:C30)</f>
        <v>126773</v>
      </c>
      <c r="D31" s="215">
        <f>SUM(D23:D30)</f>
        <v>126773</v>
      </c>
      <c r="G31" s="89" t="s">
        <v>123</v>
      </c>
      <c r="H31" s="91">
        <f>SUM(H23:H30)</f>
        <v>437810.51999999996</v>
      </c>
      <c r="I31" s="215">
        <f>SUM(I23:I30)</f>
        <v>437810.51999999996</v>
      </c>
      <c r="J31">
        <f>SUM(J23:J30)</f>
        <v>466100</v>
      </c>
      <c r="L31" s="89" t="s">
        <v>123</v>
      </c>
      <c r="M31" s="91">
        <f>SUM(M23:M30)</f>
        <v>99116</v>
      </c>
      <c r="N31" s="215">
        <f>SUM(N23:N30)</f>
        <v>61680</v>
      </c>
    </row>
    <row r="32" spans="1:15" ht="15.75" thickTop="1" x14ac:dyDescent="0.25">
      <c r="C32" s="94"/>
      <c r="D32" s="217"/>
      <c r="H32" s="94"/>
      <c r="I32" s="217"/>
      <c r="M32" s="94"/>
      <c r="N32" s="217"/>
    </row>
    <row r="33" spans="1:29" ht="15.75" thickBot="1" x14ac:dyDescent="0.3">
      <c r="B33" s="89" t="s">
        <v>200</v>
      </c>
      <c r="C33" s="105">
        <f>+C20-C31</f>
        <v>0</v>
      </c>
      <c r="D33" s="105">
        <f>+D20-D31</f>
        <v>0</v>
      </c>
      <c r="G33" s="89" t="s">
        <v>200</v>
      </c>
      <c r="H33" s="105">
        <f>+H20-H31</f>
        <v>0</v>
      </c>
      <c r="I33" s="105">
        <f>+I20-I31</f>
        <v>0</v>
      </c>
      <c r="L33" s="89" t="s">
        <v>200</v>
      </c>
      <c r="M33" s="105">
        <f>+M20-M31</f>
        <v>-99116</v>
      </c>
      <c r="N33" s="105">
        <f>+N20-N31</f>
        <v>79836.179999999993</v>
      </c>
    </row>
    <row r="34" spans="1:29" ht="15.75" thickTop="1" x14ac:dyDescent="0.25"/>
    <row r="35" spans="1:29" x14ac:dyDescent="0.25">
      <c r="C35">
        <v>6800</v>
      </c>
      <c r="D35" t="s">
        <v>343</v>
      </c>
      <c r="H35" s="134"/>
      <c r="M35" s="134"/>
    </row>
    <row r="38" spans="1:29" x14ac:dyDescent="0.25">
      <c r="W38" t="s">
        <v>353</v>
      </c>
      <c r="X38" s="237">
        <v>179956</v>
      </c>
    </row>
    <row r="39" spans="1:29" x14ac:dyDescent="0.25">
      <c r="W39" t="s">
        <v>352</v>
      </c>
      <c r="X39" s="237">
        <v>248881</v>
      </c>
      <c r="Y39" s="243">
        <v>26961</v>
      </c>
    </row>
    <row r="41" spans="1:29" x14ac:dyDescent="0.25">
      <c r="W41" t="s">
        <v>351</v>
      </c>
      <c r="X41" s="237">
        <v>20098.84</v>
      </c>
    </row>
    <row r="42" spans="1:29" x14ac:dyDescent="0.25">
      <c r="C42" s="250" t="s">
        <v>245</v>
      </c>
      <c r="D42" s="250"/>
      <c r="E42" t="s">
        <v>247</v>
      </c>
      <c r="H42" s="250" t="s">
        <v>246</v>
      </c>
      <c r="I42" s="250"/>
      <c r="M42" s="250" t="s">
        <v>191</v>
      </c>
      <c r="N42" s="250"/>
      <c r="R42" s="250" t="s">
        <v>249</v>
      </c>
      <c r="S42" s="250"/>
      <c r="W42" s="250" t="s">
        <v>248</v>
      </c>
      <c r="X42" s="250"/>
      <c r="AB42" s="250" t="s">
        <v>268</v>
      </c>
      <c r="AC42" s="250"/>
    </row>
    <row r="43" spans="1:29" x14ac:dyDescent="0.25">
      <c r="C43" s="251" t="s">
        <v>265</v>
      </c>
      <c r="D43" s="251"/>
      <c r="H43" s="251" t="s">
        <v>250</v>
      </c>
      <c r="I43" s="251"/>
      <c r="M43" s="251" t="s">
        <v>250</v>
      </c>
      <c r="N43" s="251"/>
      <c r="R43" s="251" t="s">
        <v>265</v>
      </c>
      <c r="S43" s="251"/>
      <c r="W43" s="251" t="s">
        <v>265</v>
      </c>
      <c r="X43" s="251"/>
      <c r="AB43" s="251" t="s">
        <v>265</v>
      </c>
      <c r="AC43" s="251"/>
    </row>
    <row r="44" spans="1:29" x14ac:dyDescent="0.25">
      <c r="C44" s="235" t="s">
        <v>203</v>
      </c>
      <c r="D44" s="235" t="s">
        <v>116</v>
      </c>
      <c r="H44" s="235" t="s">
        <v>203</v>
      </c>
      <c r="I44" s="235" t="s">
        <v>116</v>
      </c>
      <c r="M44" s="235" t="s">
        <v>203</v>
      </c>
      <c r="N44" s="235" t="s">
        <v>116</v>
      </c>
      <c r="R44" s="236" t="s">
        <v>203</v>
      </c>
      <c r="S44" s="236" t="s">
        <v>116</v>
      </c>
      <c r="W44" s="235" t="s">
        <v>203</v>
      </c>
      <c r="X44" s="235" t="s">
        <v>116</v>
      </c>
      <c r="AB44" s="238" t="s">
        <v>203</v>
      </c>
      <c r="AC44" s="238" t="s">
        <v>116</v>
      </c>
    </row>
    <row r="45" spans="1:29" x14ac:dyDescent="0.25">
      <c r="A45" s="85">
        <v>4000</v>
      </c>
      <c r="B45" s="85" t="s">
        <v>198</v>
      </c>
      <c r="C45" s="80">
        <v>0</v>
      </c>
      <c r="D45" s="214">
        <v>67082</v>
      </c>
      <c r="F45" s="85">
        <v>4000</v>
      </c>
      <c r="G45" s="85" t="s">
        <v>198</v>
      </c>
      <c r="H45" s="80">
        <v>0</v>
      </c>
      <c r="I45" s="214">
        <v>10110</v>
      </c>
      <c r="K45" s="85">
        <v>4000</v>
      </c>
      <c r="L45" s="85" t="s">
        <v>198</v>
      </c>
      <c r="M45" s="80">
        <v>0</v>
      </c>
      <c r="N45" s="214">
        <v>10000</v>
      </c>
      <c r="P45" s="85">
        <v>4000</v>
      </c>
      <c r="Q45" s="85" t="s">
        <v>198</v>
      </c>
      <c r="R45" s="80">
        <v>0</v>
      </c>
      <c r="S45" s="214">
        <v>1804</v>
      </c>
      <c r="U45" s="85">
        <v>4000</v>
      </c>
      <c r="V45" s="85" t="s">
        <v>198</v>
      </c>
      <c r="W45" s="80">
        <v>0</v>
      </c>
      <c r="X45" s="214">
        <f>98283.92+X41</f>
        <v>118382.76</v>
      </c>
      <c r="Z45" s="85">
        <v>4000</v>
      </c>
      <c r="AA45" s="85" t="s">
        <v>198</v>
      </c>
      <c r="AB45" s="80">
        <v>0</v>
      </c>
      <c r="AC45" s="214">
        <v>22461.65</v>
      </c>
    </row>
    <row r="46" spans="1:29" ht="15.75" thickBot="1" x14ac:dyDescent="0.3">
      <c r="B46" s="89" t="s">
        <v>120</v>
      </c>
      <c r="C46" s="91">
        <f>SUM(C45:C45)</f>
        <v>0</v>
      </c>
      <c r="D46" s="215">
        <f>SUM(D45:D45)</f>
        <v>67082</v>
      </c>
      <c r="G46" s="89" t="s">
        <v>120</v>
      </c>
      <c r="H46" s="91">
        <f>SUM(H45:H45)</f>
        <v>0</v>
      </c>
      <c r="I46" s="215">
        <f>SUM(I45:I45)</f>
        <v>10110</v>
      </c>
      <c r="L46" s="89" t="s">
        <v>120</v>
      </c>
      <c r="M46" s="91">
        <f>SUM(M45:M45)</f>
        <v>0</v>
      </c>
      <c r="N46" s="215">
        <f>SUM(N45:N45)</f>
        <v>10000</v>
      </c>
      <c r="Q46" s="89" t="s">
        <v>120</v>
      </c>
      <c r="R46" s="91">
        <f>SUM(R45:R45)</f>
        <v>0</v>
      </c>
      <c r="S46" s="215">
        <f>SUM(S45:S45)</f>
        <v>1804</v>
      </c>
      <c r="V46" s="89" t="s">
        <v>120</v>
      </c>
      <c r="W46" s="91">
        <f>SUM(W45:W45)</f>
        <v>0</v>
      </c>
      <c r="X46" s="215">
        <f>SUM(X45:X45)</f>
        <v>118382.76</v>
      </c>
      <c r="AA46" s="89" t="s">
        <v>120</v>
      </c>
      <c r="AB46" s="91">
        <f>SUM(AB45:AB45)</f>
        <v>0</v>
      </c>
      <c r="AC46" s="215">
        <f>SUM(AC45:AC45)</f>
        <v>22461.65</v>
      </c>
    </row>
    <row r="47" spans="1:29" ht="15.75" thickTop="1" x14ac:dyDescent="0.25">
      <c r="C47" s="212"/>
      <c r="D47" s="212"/>
      <c r="H47" s="212"/>
      <c r="I47" s="212"/>
      <c r="M47" s="212"/>
      <c r="N47" s="212"/>
      <c r="R47" s="212"/>
      <c r="S47" s="212"/>
      <c r="W47" s="212"/>
      <c r="X47" s="212"/>
      <c r="AB47" s="212"/>
      <c r="AC47" s="212"/>
    </row>
    <row r="48" spans="1:29" x14ac:dyDescent="0.25">
      <c r="C48" s="99"/>
      <c r="D48" s="99"/>
      <c r="H48" s="99"/>
      <c r="I48" s="99"/>
      <c r="M48" s="99"/>
      <c r="N48" s="99"/>
      <c r="R48" s="99"/>
      <c r="S48" s="99"/>
      <c r="W48" s="99"/>
      <c r="X48" s="99"/>
      <c r="AB48" s="99"/>
      <c r="AC48" s="99"/>
    </row>
    <row r="49" spans="1:29" x14ac:dyDescent="0.25">
      <c r="A49" s="85">
        <v>100</v>
      </c>
      <c r="B49" s="85" t="s">
        <v>4</v>
      </c>
      <c r="C49" s="94">
        <v>33542</v>
      </c>
      <c r="D49" s="217">
        <v>59482</v>
      </c>
      <c r="F49" s="85">
        <v>100</v>
      </c>
      <c r="G49" s="85" t="s">
        <v>4</v>
      </c>
      <c r="H49" s="94">
        <v>7188</v>
      </c>
      <c r="I49" s="217">
        <v>8965</v>
      </c>
      <c r="J49" t="s">
        <v>381</v>
      </c>
      <c r="K49" s="85">
        <v>100</v>
      </c>
      <c r="L49" s="85" t="s">
        <v>4</v>
      </c>
      <c r="M49" s="94">
        <v>0</v>
      </c>
      <c r="N49" s="217">
        <v>4549</v>
      </c>
      <c r="P49" s="85">
        <v>100</v>
      </c>
      <c r="Q49" s="85" t="s">
        <v>4</v>
      </c>
      <c r="R49" s="94">
        <v>0</v>
      </c>
      <c r="S49" s="217">
        <v>0</v>
      </c>
      <c r="U49" s="85">
        <v>100</v>
      </c>
      <c r="V49" s="85" t="s">
        <v>4</v>
      </c>
      <c r="W49" s="94">
        <v>0</v>
      </c>
      <c r="X49" s="217">
        <v>0</v>
      </c>
      <c r="Z49" s="85">
        <v>100</v>
      </c>
      <c r="AA49" s="85" t="s">
        <v>4</v>
      </c>
      <c r="AB49" s="94">
        <v>0</v>
      </c>
      <c r="AC49" s="217">
        <v>4617.5</v>
      </c>
    </row>
    <row r="50" spans="1:29" x14ac:dyDescent="0.25">
      <c r="A50" s="85">
        <v>200</v>
      </c>
      <c r="B50" s="85" t="s">
        <v>5</v>
      </c>
      <c r="C50" s="94">
        <v>2349</v>
      </c>
      <c r="D50" s="217">
        <v>6609</v>
      </c>
      <c r="F50" s="85">
        <v>200</v>
      </c>
      <c r="G50" s="85" t="s">
        <v>5</v>
      </c>
      <c r="H50" s="94">
        <v>536</v>
      </c>
      <c r="I50" s="217">
        <v>996</v>
      </c>
      <c r="K50" s="85">
        <v>200</v>
      </c>
      <c r="L50" s="85" t="s">
        <v>5</v>
      </c>
      <c r="M50" s="94">
        <v>0</v>
      </c>
      <c r="N50" s="217">
        <v>377</v>
      </c>
      <c r="P50" s="85">
        <v>200</v>
      </c>
      <c r="Q50" s="85" t="s">
        <v>5</v>
      </c>
      <c r="R50" s="94">
        <v>0</v>
      </c>
      <c r="S50" s="217">
        <v>0</v>
      </c>
      <c r="U50" s="85">
        <v>200</v>
      </c>
      <c r="V50" s="85" t="s">
        <v>5</v>
      </c>
      <c r="W50" s="94">
        <v>0</v>
      </c>
      <c r="X50" s="217">
        <v>0</v>
      </c>
      <c r="Z50" s="85">
        <v>200</v>
      </c>
      <c r="AA50" s="85" t="s">
        <v>5</v>
      </c>
      <c r="AB50" s="94">
        <v>0</v>
      </c>
      <c r="AC50" s="217">
        <v>382.5</v>
      </c>
    </row>
    <row r="51" spans="1:29" x14ac:dyDescent="0.25">
      <c r="A51" s="85">
        <v>300</v>
      </c>
      <c r="B51" s="85" t="s">
        <v>6</v>
      </c>
      <c r="C51" s="86">
        <v>0</v>
      </c>
      <c r="D51" s="216">
        <v>0</v>
      </c>
      <c r="F51" s="85">
        <v>300</v>
      </c>
      <c r="G51" s="85" t="s">
        <v>6</v>
      </c>
      <c r="H51" s="86">
        <v>0</v>
      </c>
      <c r="I51" s="216">
        <v>0</v>
      </c>
      <c r="K51" s="85">
        <v>300</v>
      </c>
      <c r="L51" s="85" t="s">
        <v>6</v>
      </c>
      <c r="M51" s="86">
        <v>0</v>
      </c>
      <c r="N51" s="216">
        <v>0</v>
      </c>
      <c r="P51" s="85">
        <v>300</v>
      </c>
      <c r="Q51" s="85" t="s">
        <v>6</v>
      </c>
      <c r="R51" s="86">
        <v>0</v>
      </c>
      <c r="S51" s="216">
        <v>0</v>
      </c>
      <c r="U51" s="85">
        <v>300</v>
      </c>
      <c r="V51" s="85" t="s">
        <v>6</v>
      </c>
      <c r="W51" s="86">
        <v>0</v>
      </c>
      <c r="X51" s="216">
        <v>0</v>
      </c>
      <c r="Z51" s="85">
        <v>300</v>
      </c>
      <c r="AA51" s="85" t="s">
        <v>6</v>
      </c>
      <c r="AB51" s="86">
        <v>0</v>
      </c>
      <c r="AC51" s="216">
        <v>0</v>
      </c>
    </row>
    <row r="52" spans="1:29" x14ac:dyDescent="0.25">
      <c r="A52" s="85">
        <v>400</v>
      </c>
      <c r="B52" s="85" t="s">
        <v>7</v>
      </c>
      <c r="C52" s="86">
        <v>0</v>
      </c>
      <c r="D52" s="216">
        <v>0</v>
      </c>
      <c r="F52" s="85">
        <v>400</v>
      </c>
      <c r="G52" s="85" t="s">
        <v>7</v>
      </c>
      <c r="H52" s="86">
        <v>0</v>
      </c>
      <c r="I52" s="216">
        <v>0</v>
      </c>
      <c r="K52" s="85">
        <v>400</v>
      </c>
      <c r="L52" s="85" t="s">
        <v>7</v>
      </c>
      <c r="M52" s="86">
        <v>0</v>
      </c>
      <c r="N52" s="216">
        <v>0</v>
      </c>
      <c r="P52" s="85">
        <v>400</v>
      </c>
      <c r="Q52" s="85" t="s">
        <v>7</v>
      </c>
      <c r="R52" s="86">
        <v>0</v>
      </c>
      <c r="S52" s="216">
        <v>0</v>
      </c>
      <c r="U52" s="85">
        <v>400</v>
      </c>
      <c r="V52" s="85" t="s">
        <v>7</v>
      </c>
      <c r="W52" s="86">
        <v>0</v>
      </c>
      <c r="X52" s="216">
        <v>0</v>
      </c>
      <c r="Z52" s="85">
        <v>400</v>
      </c>
      <c r="AA52" s="85" t="s">
        <v>7</v>
      </c>
      <c r="AB52" s="86">
        <v>0</v>
      </c>
      <c r="AC52" s="216">
        <v>0</v>
      </c>
    </row>
    <row r="53" spans="1:29" x14ac:dyDescent="0.25">
      <c r="A53" s="85">
        <v>500</v>
      </c>
      <c r="B53" s="85" t="s">
        <v>66</v>
      </c>
      <c r="C53" s="80">
        <v>0</v>
      </c>
      <c r="D53" s="214">
        <v>0</v>
      </c>
      <c r="F53" s="85">
        <v>500</v>
      </c>
      <c r="G53" s="85" t="s">
        <v>66</v>
      </c>
      <c r="H53" s="80">
        <v>0</v>
      </c>
      <c r="I53" s="214">
        <v>0</v>
      </c>
      <c r="K53" s="85">
        <v>500</v>
      </c>
      <c r="L53" s="85" t="s">
        <v>66</v>
      </c>
      <c r="M53" s="80">
        <v>0</v>
      </c>
      <c r="N53" s="214">
        <v>4926</v>
      </c>
      <c r="P53" s="85">
        <v>500</v>
      </c>
      <c r="Q53" s="85" t="s">
        <v>66</v>
      </c>
      <c r="R53" s="80">
        <v>0</v>
      </c>
      <c r="S53" s="214">
        <v>0</v>
      </c>
      <c r="U53" s="85">
        <v>500</v>
      </c>
      <c r="V53" s="85" t="s">
        <v>66</v>
      </c>
      <c r="W53" s="80">
        <v>0</v>
      </c>
      <c r="X53" s="214">
        <v>0</v>
      </c>
      <c r="Z53" s="85">
        <v>500</v>
      </c>
      <c r="AA53" s="85" t="s">
        <v>66</v>
      </c>
      <c r="AB53" s="80">
        <v>0</v>
      </c>
      <c r="AC53" s="214">
        <v>0</v>
      </c>
    </row>
    <row r="54" spans="1:29" x14ac:dyDescent="0.25">
      <c r="A54" s="85">
        <v>600</v>
      </c>
      <c r="B54" s="85" t="s">
        <v>8</v>
      </c>
      <c r="C54" s="80">
        <v>0</v>
      </c>
      <c r="D54" s="214">
        <v>0</v>
      </c>
      <c r="F54" s="85">
        <v>600</v>
      </c>
      <c r="G54" s="85" t="s">
        <v>8</v>
      </c>
      <c r="H54" s="80">
        <v>0</v>
      </c>
      <c r="I54" s="214">
        <v>0</v>
      </c>
      <c r="K54" s="85">
        <v>600</v>
      </c>
      <c r="L54" s="85" t="s">
        <v>8</v>
      </c>
      <c r="M54" s="94">
        <v>0</v>
      </c>
      <c r="N54" s="214">
        <v>0</v>
      </c>
      <c r="P54" s="85">
        <v>600</v>
      </c>
      <c r="Q54" s="85" t="s">
        <v>8</v>
      </c>
      <c r="R54" s="80">
        <v>0</v>
      </c>
      <c r="S54" s="214">
        <v>0</v>
      </c>
      <c r="U54" s="85">
        <v>600</v>
      </c>
      <c r="V54" s="85" t="s">
        <v>8</v>
      </c>
      <c r="W54" s="80">
        <v>0</v>
      </c>
      <c r="X54" s="214">
        <v>0</v>
      </c>
      <c r="Z54" s="85">
        <v>600</v>
      </c>
      <c r="AA54" s="85" t="s">
        <v>8</v>
      </c>
      <c r="AB54" s="80">
        <v>5167.1099999999997</v>
      </c>
      <c r="AC54" s="214">
        <v>17461.650000000001</v>
      </c>
    </row>
    <row r="55" spans="1:29" x14ac:dyDescent="0.25">
      <c r="A55" s="85">
        <v>700</v>
      </c>
      <c r="B55" s="85" t="s">
        <v>9</v>
      </c>
      <c r="C55" s="86">
        <v>0</v>
      </c>
      <c r="D55" s="216">
        <v>0</v>
      </c>
      <c r="F55" s="85">
        <v>700</v>
      </c>
      <c r="G55" s="85" t="s">
        <v>9</v>
      </c>
      <c r="H55" s="86">
        <v>0</v>
      </c>
      <c r="I55" s="216">
        <v>0</v>
      </c>
      <c r="K55" s="85">
        <v>700</v>
      </c>
      <c r="L55" s="85" t="s">
        <v>9</v>
      </c>
      <c r="M55" s="86">
        <v>0</v>
      </c>
      <c r="N55" s="216">
        <v>0</v>
      </c>
      <c r="P55" s="85">
        <v>700</v>
      </c>
      <c r="Q55" s="85" t="s">
        <v>9</v>
      </c>
      <c r="R55" s="86">
        <v>0</v>
      </c>
      <c r="S55" s="216">
        <v>0</v>
      </c>
      <c r="U55" s="85">
        <v>700</v>
      </c>
      <c r="V55" s="85" t="s">
        <v>9</v>
      </c>
      <c r="W55" s="86">
        <v>0</v>
      </c>
      <c r="X55" s="216">
        <v>0</v>
      </c>
      <c r="Z55" s="85">
        <v>700</v>
      </c>
      <c r="AA55" s="85" t="s">
        <v>9</v>
      </c>
      <c r="AB55" s="86">
        <v>0</v>
      </c>
      <c r="AC55" s="216">
        <v>0</v>
      </c>
    </row>
    <row r="56" spans="1:29" x14ac:dyDescent="0.25">
      <c r="A56" s="85">
        <v>800</v>
      </c>
      <c r="B56" s="85" t="s">
        <v>199</v>
      </c>
      <c r="C56" s="86">
        <v>0</v>
      </c>
      <c r="D56" s="216">
        <v>991</v>
      </c>
      <c r="F56" s="85">
        <v>800</v>
      </c>
      <c r="G56" s="85" t="s">
        <v>199</v>
      </c>
      <c r="H56" s="86">
        <v>0</v>
      </c>
      <c r="I56" s="216">
        <v>149</v>
      </c>
      <c r="K56" s="85">
        <v>800</v>
      </c>
      <c r="L56" s="85" t="s">
        <v>199</v>
      </c>
      <c r="M56" s="86">
        <v>0</v>
      </c>
      <c r="N56" s="216">
        <v>148</v>
      </c>
      <c r="P56" s="85">
        <v>800</v>
      </c>
      <c r="Q56" s="85" t="s">
        <v>199</v>
      </c>
      <c r="R56" s="86">
        <v>0</v>
      </c>
      <c r="S56" s="216">
        <v>0</v>
      </c>
      <c r="U56" s="85">
        <v>800</v>
      </c>
      <c r="V56" s="85" t="s">
        <v>199</v>
      </c>
      <c r="W56" s="86">
        <v>0</v>
      </c>
      <c r="X56" s="216">
        <v>0</v>
      </c>
      <c r="Z56" s="85">
        <v>800</v>
      </c>
      <c r="AA56" s="85" t="s">
        <v>199</v>
      </c>
      <c r="AB56" s="86">
        <v>0</v>
      </c>
      <c r="AC56" s="216">
        <v>0</v>
      </c>
    </row>
    <row r="57" spans="1:29" ht="15.75" thickBot="1" x14ac:dyDescent="0.3">
      <c r="B57" s="89" t="s">
        <v>123</v>
      </c>
      <c r="C57" s="91">
        <f>SUM(C49:C56)</f>
        <v>35891</v>
      </c>
      <c r="D57" s="215">
        <f>SUM(D49:D56)</f>
        <v>67082</v>
      </c>
      <c r="G57" s="89" t="s">
        <v>123</v>
      </c>
      <c r="H57" s="91">
        <f>SUM(H49:H56)</f>
        <v>7724</v>
      </c>
      <c r="I57" s="215">
        <f>SUM(I49:I56)</f>
        <v>10110</v>
      </c>
      <c r="L57" s="89" t="s">
        <v>123</v>
      </c>
      <c r="M57" s="227">
        <f>SUM(M49:M56)</f>
        <v>0</v>
      </c>
      <c r="N57" s="215">
        <f>SUM(N49:N56)</f>
        <v>10000</v>
      </c>
      <c r="Q57" s="89" t="s">
        <v>123</v>
      </c>
      <c r="R57" s="91">
        <f>SUM(R49:R56)</f>
        <v>0</v>
      </c>
      <c r="S57" s="215">
        <f>SUM(S49:S56)</f>
        <v>0</v>
      </c>
      <c r="V57" s="89" t="s">
        <v>123</v>
      </c>
      <c r="W57" s="91">
        <f>SUM(W49:W56)</f>
        <v>0</v>
      </c>
      <c r="X57" s="215">
        <f>SUM(X49:X56)</f>
        <v>0</v>
      </c>
      <c r="AA57" s="89" t="s">
        <v>123</v>
      </c>
      <c r="AB57" s="91">
        <f>SUM(AB49:AB56)</f>
        <v>5167.1099999999997</v>
      </c>
      <c r="AC57" s="215">
        <f>SUM(AC49:AC56)</f>
        <v>22461.65</v>
      </c>
    </row>
    <row r="58" spans="1:29" ht="15.75" thickTop="1" x14ac:dyDescent="0.25">
      <c r="C58" s="94"/>
      <c r="D58" s="217"/>
      <c r="H58" s="94"/>
      <c r="I58" s="217"/>
      <c r="M58" s="94"/>
      <c r="N58" s="217"/>
      <c r="R58" s="94"/>
      <c r="S58" s="217"/>
      <c r="W58" s="94"/>
      <c r="X58" s="217"/>
      <c r="AB58" s="94"/>
      <c r="AC58" s="217"/>
    </row>
    <row r="59" spans="1:29" ht="15.75" thickBot="1" x14ac:dyDescent="0.3">
      <c r="B59" s="89" t="s">
        <v>200</v>
      </c>
      <c r="C59" s="105">
        <f>+C46-C57</f>
        <v>-35891</v>
      </c>
      <c r="D59" s="105">
        <f>+D46-D57</f>
        <v>0</v>
      </c>
      <c r="G59" s="89" t="s">
        <v>200</v>
      </c>
      <c r="H59" s="105">
        <f>+H46-H57</f>
        <v>-7724</v>
      </c>
      <c r="I59" s="105">
        <f>+I46-I57</f>
        <v>0</v>
      </c>
      <c r="L59" s="89" t="s">
        <v>200</v>
      </c>
      <c r="M59" s="105">
        <f>+M46-M57</f>
        <v>0</v>
      </c>
      <c r="N59" s="105">
        <f>+N46-N57</f>
        <v>0</v>
      </c>
      <c r="Q59" s="89" t="s">
        <v>200</v>
      </c>
      <c r="R59" s="105">
        <f>+R46-R57</f>
        <v>0</v>
      </c>
      <c r="S59" s="105">
        <f>+S46-S57</f>
        <v>1804</v>
      </c>
      <c r="V59" s="89" t="s">
        <v>200</v>
      </c>
      <c r="W59" s="105">
        <f>+W46-W57</f>
        <v>0</v>
      </c>
      <c r="X59" s="105">
        <f>+X46-X57</f>
        <v>118382.76</v>
      </c>
      <c r="AA59" s="89" t="s">
        <v>200</v>
      </c>
      <c r="AB59" s="105">
        <f>+AB46-AB57</f>
        <v>-5167.1099999999997</v>
      </c>
      <c r="AC59" s="105">
        <f>+AC46-AC57</f>
        <v>0</v>
      </c>
    </row>
    <row r="60" spans="1:29" ht="15.75" thickTop="1" x14ac:dyDescent="0.25"/>
    <row r="61" spans="1:29" x14ac:dyDescent="0.25">
      <c r="C61" t="s">
        <v>251</v>
      </c>
      <c r="H61" t="s">
        <v>382</v>
      </c>
      <c r="W61" t="s">
        <v>385</v>
      </c>
      <c r="AB61" t="s">
        <v>364</v>
      </c>
    </row>
    <row r="62" spans="1:29" x14ac:dyDescent="0.25">
      <c r="C62" t="s">
        <v>380</v>
      </c>
      <c r="H62" t="s">
        <v>253</v>
      </c>
      <c r="I62">
        <v>5000</v>
      </c>
      <c r="M62" t="s">
        <v>383</v>
      </c>
      <c r="W62" t="s">
        <v>386</v>
      </c>
      <c r="AB62" t="s">
        <v>366</v>
      </c>
    </row>
    <row r="63" spans="1:29" x14ac:dyDescent="0.25">
      <c r="H63" t="s">
        <v>357</v>
      </c>
      <c r="I63" t="s">
        <v>356</v>
      </c>
      <c r="M63" t="s">
        <v>317</v>
      </c>
      <c r="N63" s="21"/>
      <c r="S63" s="21"/>
      <c r="AB63" t="s">
        <v>367</v>
      </c>
    </row>
    <row r="65" spans="1:24" x14ac:dyDescent="0.25">
      <c r="C65" s="250" t="s">
        <v>335</v>
      </c>
      <c r="D65" s="250"/>
      <c r="H65" s="257" t="s">
        <v>338</v>
      </c>
      <c r="I65" s="257"/>
      <c r="J65" s="21"/>
      <c r="K65" s="21"/>
      <c r="L65" s="21"/>
      <c r="M65" s="257" t="s">
        <v>337</v>
      </c>
      <c r="N65" s="257"/>
      <c r="O65" s="21"/>
      <c r="P65" s="21"/>
      <c r="Q65" s="21"/>
      <c r="R65" s="257" t="s">
        <v>340</v>
      </c>
      <c r="S65" s="257"/>
      <c r="W65" s="250" t="s">
        <v>341</v>
      </c>
      <c r="X65" s="250"/>
    </row>
    <row r="66" spans="1:24" x14ac:dyDescent="0.25">
      <c r="C66" s="251" t="s">
        <v>336</v>
      </c>
      <c r="D66" s="251"/>
      <c r="H66" s="258" t="s">
        <v>339</v>
      </c>
      <c r="I66" s="258"/>
      <c r="J66" s="21"/>
      <c r="K66" s="21"/>
      <c r="L66" s="21"/>
      <c r="M66" s="258" t="s">
        <v>336</v>
      </c>
      <c r="N66" s="258"/>
      <c r="O66" s="21"/>
      <c r="P66" s="21"/>
      <c r="Q66" s="21"/>
      <c r="R66" s="258" t="s">
        <v>336</v>
      </c>
      <c r="S66" s="258"/>
      <c r="W66" s="251" t="s">
        <v>342</v>
      </c>
      <c r="X66" s="251"/>
    </row>
    <row r="67" spans="1:24" x14ac:dyDescent="0.25">
      <c r="C67" s="236" t="s">
        <v>203</v>
      </c>
      <c r="D67" s="236" t="s">
        <v>116</v>
      </c>
      <c r="H67" s="236" t="s">
        <v>203</v>
      </c>
      <c r="I67" s="236" t="s">
        <v>116</v>
      </c>
      <c r="M67" s="236" t="s">
        <v>203</v>
      </c>
      <c r="N67" s="236" t="s">
        <v>116</v>
      </c>
      <c r="R67" s="236" t="s">
        <v>203</v>
      </c>
      <c r="S67" s="236" t="s">
        <v>116</v>
      </c>
      <c r="W67" s="236" t="s">
        <v>203</v>
      </c>
      <c r="X67" s="236" t="s">
        <v>116</v>
      </c>
    </row>
    <row r="68" spans="1:24" x14ac:dyDescent="0.25">
      <c r="A68" s="85">
        <v>4000</v>
      </c>
      <c r="B68" s="85" t="s">
        <v>198</v>
      </c>
      <c r="C68" s="80">
        <v>0</v>
      </c>
      <c r="D68" s="214">
        <v>15324</v>
      </c>
      <c r="F68" s="85">
        <v>4000</v>
      </c>
      <c r="G68" s="85" t="s">
        <v>198</v>
      </c>
      <c r="H68" s="80">
        <v>0</v>
      </c>
      <c r="I68" s="214">
        <v>20465.71</v>
      </c>
      <c r="K68" s="85">
        <v>4000</v>
      </c>
      <c r="L68" s="85" t="s">
        <v>198</v>
      </c>
      <c r="M68" s="80">
        <v>0</v>
      </c>
      <c r="N68" s="214">
        <v>26548.28</v>
      </c>
      <c r="P68" s="85">
        <v>4000</v>
      </c>
      <c r="Q68" s="85" t="s">
        <v>198</v>
      </c>
      <c r="R68" s="80">
        <v>0</v>
      </c>
      <c r="S68" s="214">
        <v>214892.5</v>
      </c>
      <c r="U68" s="85">
        <v>4000</v>
      </c>
      <c r="V68" s="85" t="s">
        <v>198</v>
      </c>
      <c r="W68" s="80">
        <v>0</v>
      </c>
      <c r="X68" s="214">
        <v>482934</v>
      </c>
    </row>
    <row r="69" spans="1:24" ht="15.75" thickBot="1" x14ac:dyDescent="0.3">
      <c r="B69" s="89" t="s">
        <v>120</v>
      </c>
      <c r="C69" s="91">
        <f>SUM(C68:C68)</f>
        <v>0</v>
      </c>
      <c r="D69" s="215">
        <f>SUM(D68:D68)</f>
        <v>15324</v>
      </c>
      <c r="G69" s="89" t="s">
        <v>120</v>
      </c>
      <c r="H69" s="91">
        <f>SUM(H68:H68)</f>
        <v>0</v>
      </c>
      <c r="I69" s="215">
        <f>SUM(I68:I68)</f>
        <v>20465.71</v>
      </c>
      <c r="L69" s="89" t="s">
        <v>120</v>
      </c>
      <c r="M69" s="91">
        <f>SUM(M68:M68)</f>
        <v>0</v>
      </c>
      <c r="N69" s="215">
        <f>SUM(N68:N68)</f>
        <v>26548.28</v>
      </c>
      <c r="Q69" s="89" t="s">
        <v>120</v>
      </c>
      <c r="R69" s="91">
        <f>SUM(R68:R68)</f>
        <v>0</v>
      </c>
      <c r="S69" s="215">
        <f>SUM(S68:S68)</f>
        <v>214892.5</v>
      </c>
      <c r="V69" s="89" t="s">
        <v>120</v>
      </c>
      <c r="W69" s="91">
        <f>SUM(W68:W68)</f>
        <v>0</v>
      </c>
      <c r="X69" s="215">
        <f>SUM(X68:X68)</f>
        <v>482934</v>
      </c>
    </row>
    <row r="70" spans="1:24" ht="15.75" thickTop="1" x14ac:dyDescent="0.25">
      <c r="C70" s="212"/>
      <c r="D70" s="212"/>
      <c r="H70" s="212"/>
      <c r="I70" s="212"/>
      <c r="M70" s="212"/>
      <c r="N70" s="212"/>
      <c r="R70" s="212"/>
      <c r="S70" s="212"/>
      <c r="W70" s="212"/>
      <c r="X70" s="212"/>
    </row>
    <row r="71" spans="1:24" x14ac:dyDescent="0.25">
      <c r="C71" s="99"/>
      <c r="D71" s="99"/>
      <c r="H71" s="99"/>
      <c r="I71" s="99"/>
      <c r="M71" s="99"/>
      <c r="N71" s="99"/>
      <c r="R71" s="99"/>
      <c r="S71" s="99"/>
      <c r="W71" s="99"/>
      <c r="X71" s="99"/>
    </row>
    <row r="72" spans="1:24" x14ac:dyDescent="0.25">
      <c r="A72" s="85">
        <v>100</v>
      </c>
      <c r="B72" s="85" t="s">
        <v>4</v>
      </c>
      <c r="C72" s="94">
        <v>0</v>
      </c>
      <c r="D72" s="217">
        <v>13739</v>
      </c>
      <c r="F72" s="85">
        <v>100</v>
      </c>
      <c r="G72" s="85" t="s">
        <v>4</v>
      </c>
      <c r="H72" s="94">
        <v>0</v>
      </c>
      <c r="I72" s="217">
        <v>0</v>
      </c>
      <c r="K72" s="85">
        <v>100</v>
      </c>
      <c r="L72" s="85" t="s">
        <v>4</v>
      </c>
      <c r="M72" s="94">
        <v>0</v>
      </c>
      <c r="N72" s="217">
        <v>23038.05</v>
      </c>
      <c r="P72" s="85">
        <v>100</v>
      </c>
      <c r="Q72" s="85" t="s">
        <v>4</v>
      </c>
      <c r="R72" s="94">
        <v>0</v>
      </c>
      <c r="S72" s="217">
        <v>159909.28</v>
      </c>
      <c r="U72" s="85">
        <v>100</v>
      </c>
      <c r="V72" s="85" t="s">
        <v>4</v>
      </c>
      <c r="W72" s="94">
        <v>0</v>
      </c>
      <c r="X72" s="217">
        <v>178479</v>
      </c>
    </row>
    <row r="73" spans="1:24" x14ac:dyDescent="0.25">
      <c r="A73" s="85">
        <v>200</v>
      </c>
      <c r="B73" s="85" t="s">
        <v>5</v>
      </c>
      <c r="C73" s="94">
        <v>0</v>
      </c>
      <c r="D73" s="217">
        <v>1359</v>
      </c>
      <c r="F73" s="85">
        <v>200</v>
      </c>
      <c r="G73" s="85" t="s">
        <v>5</v>
      </c>
      <c r="H73" s="94">
        <v>0</v>
      </c>
      <c r="I73" s="217">
        <v>0</v>
      </c>
      <c r="K73" s="85">
        <v>200</v>
      </c>
      <c r="L73" s="85" t="s">
        <v>5</v>
      </c>
      <c r="M73" s="94">
        <v>0</v>
      </c>
      <c r="N73" s="217">
        <v>1908.4</v>
      </c>
      <c r="P73" s="85">
        <v>200</v>
      </c>
      <c r="Q73" s="85" t="s">
        <v>5</v>
      </c>
      <c r="R73" s="94">
        <v>0</v>
      </c>
      <c r="S73" s="217">
        <v>13246.41</v>
      </c>
      <c r="U73" s="85">
        <v>200</v>
      </c>
      <c r="V73" s="85" t="s">
        <v>5</v>
      </c>
      <c r="W73" s="94">
        <v>0</v>
      </c>
      <c r="X73" s="217">
        <v>19831</v>
      </c>
    </row>
    <row r="74" spans="1:24" x14ac:dyDescent="0.25">
      <c r="A74" s="85">
        <v>300</v>
      </c>
      <c r="B74" s="85" t="s">
        <v>6</v>
      </c>
      <c r="C74" s="86">
        <v>0</v>
      </c>
      <c r="D74" s="216">
        <v>0</v>
      </c>
      <c r="F74" s="85">
        <v>300</v>
      </c>
      <c r="G74" s="85" t="s">
        <v>6</v>
      </c>
      <c r="H74" s="86">
        <v>0</v>
      </c>
      <c r="I74" s="216">
        <v>0</v>
      </c>
      <c r="K74" s="85">
        <v>300</v>
      </c>
      <c r="L74" s="85" t="s">
        <v>6</v>
      </c>
      <c r="M74" s="86">
        <v>0</v>
      </c>
      <c r="N74" s="216">
        <v>0</v>
      </c>
      <c r="P74" s="85">
        <v>300</v>
      </c>
      <c r="Q74" s="85" t="s">
        <v>6</v>
      </c>
      <c r="R74" s="86">
        <v>0</v>
      </c>
      <c r="S74" s="216">
        <v>0</v>
      </c>
      <c r="U74" s="85">
        <v>300</v>
      </c>
      <c r="V74" s="85" t="s">
        <v>6</v>
      </c>
      <c r="W74" s="86">
        <v>0</v>
      </c>
      <c r="X74" s="216">
        <v>5000</v>
      </c>
    </row>
    <row r="75" spans="1:24" x14ac:dyDescent="0.25">
      <c r="A75" s="85">
        <v>400</v>
      </c>
      <c r="B75" s="85" t="s">
        <v>7</v>
      </c>
      <c r="C75" s="86">
        <v>0</v>
      </c>
      <c r="D75" s="216">
        <v>0</v>
      </c>
      <c r="F75" s="85">
        <v>400</v>
      </c>
      <c r="G75" s="85" t="s">
        <v>7</v>
      </c>
      <c r="H75" s="86">
        <v>0</v>
      </c>
      <c r="I75" s="216">
        <v>0</v>
      </c>
      <c r="K75" s="85">
        <v>400</v>
      </c>
      <c r="L75" s="85" t="s">
        <v>7</v>
      </c>
      <c r="M75" s="86">
        <v>0</v>
      </c>
      <c r="N75" s="216">
        <v>0</v>
      </c>
      <c r="P75" s="85">
        <v>400</v>
      </c>
      <c r="Q75" s="85" t="s">
        <v>7</v>
      </c>
      <c r="R75" s="86">
        <v>0</v>
      </c>
      <c r="S75" s="216">
        <v>0</v>
      </c>
      <c r="U75" s="85">
        <v>400</v>
      </c>
      <c r="V75" s="85" t="s">
        <v>7</v>
      </c>
      <c r="W75" s="86">
        <v>0</v>
      </c>
      <c r="X75" s="216">
        <v>200000</v>
      </c>
    </row>
    <row r="76" spans="1:24" x14ac:dyDescent="0.25">
      <c r="A76" s="85">
        <v>500</v>
      </c>
      <c r="B76" s="85" t="s">
        <v>66</v>
      </c>
      <c r="C76" s="80">
        <v>0</v>
      </c>
      <c r="D76" s="214">
        <v>0</v>
      </c>
      <c r="F76" s="85">
        <v>500</v>
      </c>
      <c r="G76" s="85" t="s">
        <v>66</v>
      </c>
      <c r="H76" s="80">
        <v>0</v>
      </c>
      <c r="I76" s="214">
        <v>0</v>
      </c>
      <c r="K76" s="85">
        <v>500</v>
      </c>
      <c r="L76" s="85" t="s">
        <v>66</v>
      </c>
      <c r="M76" s="80">
        <v>0</v>
      </c>
      <c r="N76" s="214">
        <v>0</v>
      </c>
      <c r="P76" s="85">
        <v>500</v>
      </c>
      <c r="Q76" s="85" t="s">
        <v>66</v>
      </c>
      <c r="R76" s="80">
        <v>0</v>
      </c>
      <c r="S76" s="214">
        <v>0</v>
      </c>
      <c r="U76" s="85">
        <v>500</v>
      </c>
      <c r="V76" s="85" t="s">
        <v>66</v>
      </c>
      <c r="W76" s="80">
        <v>0</v>
      </c>
      <c r="X76" s="214">
        <v>0</v>
      </c>
    </row>
    <row r="77" spans="1:24" x14ac:dyDescent="0.25">
      <c r="A77" s="85">
        <v>600</v>
      </c>
      <c r="B77" s="85" t="s">
        <v>8</v>
      </c>
      <c r="C77" s="80">
        <v>0</v>
      </c>
      <c r="D77" s="214">
        <v>0</v>
      </c>
      <c r="F77" s="85">
        <v>600</v>
      </c>
      <c r="G77" s="85" t="s">
        <v>8</v>
      </c>
      <c r="H77" s="80">
        <v>0</v>
      </c>
      <c r="I77" s="214">
        <v>0</v>
      </c>
      <c r="K77" s="85">
        <v>600</v>
      </c>
      <c r="L77" s="85" t="s">
        <v>8</v>
      </c>
      <c r="M77" s="80">
        <v>0</v>
      </c>
      <c r="N77" s="214">
        <v>500</v>
      </c>
      <c r="P77" s="85">
        <v>600</v>
      </c>
      <c r="Q77" s="85" t="s">
        <v>8</v>
      </c>
      <c r="R77" s="80">
        <v>0</v>
      </c>
      <c r="S77" s="214">
        <v>39000</v>
      </c>
      <c r="U77" s="85">
        <v>600</v>
      </c>
      <c r="V77" s="85" t="s">
        <v>8</v>
      </c>
      <c r="W77" s="80">
        <v>0</v>
      </c>
      <c r="X77" s="214">
        <v>29000</v>
      </c>
    </row>
    <row r="78" spans="1:24" x14ac:dyDescent="0.25">
      <c r="A78" s="85">
        <v>700</v>
      </c>
      <c r="B78" s="85" t="s">
        <v>9</v>
      </c>
      <c r="C78" s="86">
        <v>0</v>
      </c>
      <c r="D78" s="216">
        <v>0</v>
      </c>
      <c r="F78" s="85">
        <v>700</v>
      </c>
      <c r="G78" s="85" t="s">
        <v>9</v>
      </c>
      <c r="H78" s="86">
        <v>0</v>
      </c>
      <c r="I78" s="216">
        <v>0</v>
      </c>
      <c r="K78" s="85">
        <v>700</v>
      </c>
      <c r="L78" s="85" t="s">
        <v>9</v>
      </c>
      <c r="M78" s="86">
        <v>0</v>
      </c>
      <c r="N78" s="216">
        <v>0</v>
      </c>
      <c r="P78" s="85">
        <v>700</v>
      </c>
      <c r="Q78" s="85" t="s">
        <v>9</v>
      </c>
      <c r="R78" s="86">
        <v>0</v>
      </c>
      <c r="S78" s="216">
        <v>0</v>
      </c>
      <c r="U78" s="85">
        <v>700</v>
      </c>
      <c r="V78" s="85" t="s">
        <v>9</v>
      </c>
      <c r="W78" s="86">
        <v>0</v>
      </c>
      <c r="X78" s="216">
        <v>0</v>
      </c>
    </row>
    <row r="79" spans="1:24" x14ac:dyDescent="0.25">
      <c r="A79" s="85">
        <v>800</v>
      </c>
      <c r="B79" s="85" t="s">
        <v>199</v>
      </c>
      <c r="C79" s="86">
        <v>0</v>
      </c>
      <c r="D79" s="216">
        <v>226</v>
      </c>
      <c r="F79" s="85">
        <v>800</v>
      </c>
      <c r="G79" s="85" t="s">
        <v>199</v>
      </c>
      <c r="H79" s="86">
        <v>0</v>
      </c>
      <c r="I79" s="216">
        <v>0</v>
      </c>
      <c r="K79" s="85">
        <v>800</v>
      </c>
      <c r="L79" s="85" t="s">
        <v>199</v>
      </c>
      <c r="M79" s="86">
        <v>0</v>
      </c>
      <c r="N79" s="216">
        <v>1101.83</v>
      </c>
      <c r="P79" s="85">
        <v>800</v>
      </c>
      <c r="Q79" s="85" t="s">
        <v>199</v>
      </c>
      <c r="R79" s="86">
        <v>0</v>
      </c>
      <c r="S79" s="216">
        <v>2736.81</v>
      </c>
      <c r="U79" s="85">
        <v>800</v>
      </c>
      <c r="V79" s="85" t="s">
        <v>199</v>
      </c>
      <c r="W79" s="86">
        <v>0</v>
      </c>
      <c r="X79" s="216">
        <v>50624</v>
      </c>
    </row>
    <row r="80" spans="1:24" ht="15.75" thickBot="1" x14ac:dyDescent="0.3">
      <c r="B80" s="89" t="s">
        <v>123</v>
      </c>
      <c r="C80" s="91">
        <f>SUM(C72:C79)</f>
        <v>0</v>
      </c>
      <c r="D80" s="215">
        <f>SUM(D72:D79)</f>
        <v>15324</v>
      </c>
      <c r="G80" s="89" t="s">
        <v>123</v>
      </c>
      <c r="H80" s="91">
        <f>SUM(H72:H79)</f>
        <v>0</v>
      </c>
      <c r="I80" s="215">
        <f>SUM(I72:I79)</f>
        <v>0</v>
      </c>
      <c r="L80" s="89" t="s">
        <v>123</v>
      </c>
      <c r="M80" s="91">
        <f>SUM(M72:M79)</f>
        <v>0</v>
      </c>
      <c r="N80" s="215">
        <f>SUM(N72:N79)</f>
        <v>26548.28</v>
      </c>
      <c r="Q80" s="89" t="s">
        <v>123</v>
      </c>
      <c r="R80" s="91">
        <f>SUM(R72:R79)</f>
        <v>0</v>
      </c>
      <c r="S80" s="215">
        <f>SUM(S72:S79)</f>
        <v>214892.5</v>
      </c>
      <c r="V80" s="89" t="s">
        <v>123</v>
      </c>
      <c r="W80" s="91">
        <f>SUM(W72:W79)</f>
        <v>0</v>
      </c>
      <c r="X80" s="215">
        <f>SUM(X72:X79)</f>
        <v>482934</v>
      </c>
    </row>
    <row r="81" spans="1:24" ht="15.75" thickTop="1" x14ac:dyDescent="0.25">
      <c r="C81" s="94"/>
      <c r="D81" s="217"/>
      <c r="H81" s="94"/>
      <c r="I81" s="217"/>
      <c r="M81" s="94"/>
      <c r="N81" s="217"/>
      <c r="R81" s="94"/>
      <c r="S81" s="217"/>
      <c r="W81" s="94"/>
      <c r="X81" s="217"/>
    </row>
    <row r="82" spans="1:24" ht="15.75" thickBot="1" x14ac:dyDescent="0.3">
      <c r="B82" s="89" t="s">
        <v>200</v>
      </c>
      <c r="C82" s="105">
        <f>+C69-C80</f>
        <v>0</v>
      </c>
      <c r="D82" s="105">
        <f>+D69-D80</f>
        <v>0</v>
      </c>
      <c r="G82" s="89" t="s">
        <v>200</v>
      </c>
      <c r="H82" s="105">
        <f>+H69-H80</f>
        <v>0</v>
      </c>
      <c r="I82" s="105">
        <f>+I69-I80</f>
        <v>20465.71</v>
      </c>
      <c r="L82" s="89" t="s">
        <v>200</v>
      </c>
      <c r="M82" s="105">
        <f>+M69-M80</f>
        <v>0</v>
      </c>
      <c r="N82" s="105">
        <f>+N69-N80</f>
        <v>0</v>
      </c>
      <c r="Q82" s="89" t="s">
        <v>200</v>
      </c>
      <c r="R82" s="105">
        <f>+R69-R80</f>
        <v>0</v>
      </c>
      <c r="S82" s="105">
        <f>+S69-S80</f>
        <v>0</v>
      </c>
      <c r="V82" s="89" t="s">
        <v>200</v>
      </c>
      <c r="W82" s="105">
        <f>+W69-W80</f>
        <v>0</v>
      </c>
      <c r="X82" s="105">
        <f>+X69-X80</f>
        <v>0</v>
      </c>
    </row>
    <row r="83" spans="1:24" ht="15.75" thickTop="1" x14ac:dyDescent="0.25"/>
    <row r="85" spans="1:24" x14ac:dyDescent="0.25">
      <c r="C85" t="s">
        <v>344</v>
      </c>
      <c r="H85" t="s">
        <v>347</v>
      </c>
      <c r="M85" t="s">
        <v>345</v>
      </c>
      <c r="R85" t="s">
        <v>349</v>
      </c>
      <c r="W85" t="s">
        <v>373</v>
      </c>
    </row>
    <row r="86" spans="1:24" x14ac:dyDescent="0.25">
      <c r="C86" t="s">
        <v>363</v>
      </c>
      <c r="H86" t="s">
        <v>255</v>
      </c>
      <c r="M86" t="s">
        <v>346</v>
      </c>
      <c r="O86" t="s">
        <v>362</v>
      </c>
      <c r="R86" t="s">
        <v>350</v>
      </c>
      <c r="W86" t="s">
        <v>374</v>
      </c>
    </row>
    <row r="87" spans="1:24" x14ac:dyDescent="0.25">
      <c r="H87" t="s">
        <v>348</v>
      </c>
      <c r="M87" t="s">
        <v>151</v>
      </c>
      <c r="R87" t="s">
        <v>360</v>
      </c>
      <c r="W87" t="s">
        <v>375</v>
      </c>
    </row>
    <row r="88" spans="1:24" x14ac:dyDescent="0.25">
      <c r="H88" t="s">
        <v>358</v>
      </c>
      <c r="R88" t="s">
        <v>361</v>
      </c>
      <c r="W88" t="s">
        <v>376</v>
      </c>
    </row>
    <row r="89" spans="1:24" x14ac:dyDescent="0.25">
      <c r="W89" t="s">
        <v>377</v>
      </c>
    </row>
    <row r="90" spans="1:24" x14ac:dyDescent="0.25">
      <c r="C90" s="250" t="s">
        <v>379</v>
      </c>
      <c r="D90" s="250"/>
      <c r="W90" t="s">
        <v>347</v>
      </c>
    </row>
    <row r="91" spans="1:24" x14ac:dyDescent="0.25">
      <c r="C91" s="251" t="s">
        <v>336</v>
      </c>
      <c r="D91" s="251"/>
      <c r="W91" t="s">
        <v>378</v>
      </c>
    </row>
    <row r="92" spans="1:24" x14ac:dyDescent="0.25">
      <c r="C92" s="241" t="s">
        <v>203</v>
      </c>
      <c r="D92" s="241" t="s">
        <v>116</v>
      </c>
    </row>
    <row r="93" spans="1:24" x14ac:dyDescent="0.25">
      <c r="A93" s="85">
        <v>4000</v>
      </c>
      <c r="B93" s="85" t="s">
        <v>198</v>
      </c>
      <c r="C93" s="80">
        <v>0</v>
      </c>
      <c r="D93" s="214">
        <v>1178</v>
      </c>
    </row>
    <row r="94" spans="1:24" ht="15.75" thickBot="1" x14ac:dyDescent="0.3">
      <c r="B94" s="89" t="s">
        <v>120</v>
      </c>
      <c r="C94" s="91">
        <f>SUM(C93:C93)</f>
        <v>0</v>
      </c>
      <c r="D94" s="215">
        <f>SUM(D93:D93)</f>
        <v>1178</v>
      </c>
    </row>
    <row r="95" spans="1:24" ht="15.75" thickTop="1" x14ac:dyDescent="0.25">
      <c r="C95" s="212"/>
      <c r="D95" s="212"/>
    </row>
    <row r="96" spans="1:24" x14ac:dyDescent="0.25">
      <c r="C96" s="99"/>
      <c r="D96" s="99"/>
    </row>
    <row r="97" spans="1:4" x14ac:dyDescent="0.25">
      <c r="A97" s="85">
        <v>100</v>
      </c>
      <c r="B97" s="85" t="s">
        <v>4</v>
      </c>
      <c r="C97" s="94">
        <v>0</v>
      </c>
      <c r="D97" s="217">
        <v>1056</v>
      </c>
    </row>
    <row r="98" spans="1:4" x14ac:dyDescent="0.25">
      <c r="A98" s="85">
        <v>200</v>
      </c>
      <c r="B98" s="85" t="s">
        <v>5</v>
      </c>
      <c r="C98" s="94">
        <v>0</v>
      </c>
      <c r="D98" s="217">
        <v>105</v>
      </c>
    </row>
    <row r="99" spans="1:4" x14ac:dyDescent="0.25">
      <c r="A99" s="85">
        <v>300</v>
      </c>
      <c r="B99" s="85" t="s">
        <v>6</v>
      </c>
      <c r="C99" s="86">
        <v>0</v>
      </c>
      <c r="D99" s="216">
        <v>0</v>
      </c>
    </row>
    <row r="100" spans="1:4" x14ac:dyDescent="0.25">
      <c r="A100" s="85">
        <v>400</v>
      </c>
      <c r="B100" s="85" t="s">
        <v>7</v>
      </c>
      <c r="C100" s="86">
        <v>0</v>
      </c>
      <c r="D100" s="216">
        <v>0</v>
      </c>
    </row>
    <row r="101" spans="1:4" x14ac:dyDescent="0.25">
      <c r="A101" s="85">
        <v>500</v>
      </c>
      <c r="B101" s="85" t="s">
        <v>66</v>
      </c>
      <c r="C101" s="80">
        <v>0</v>
      </c>
      <c r="D101" s="214">
        <v>0</v>
      </c>
    </row>
    <row r="102" spans="1:4" x14ac:dyDescent="0.25">
      <c r="A102" s="85">
        <v>600</v>
      </c>
      <c r="B102" s="85" t="s">
        <v>8</v>
      </c>
      <c r="C102" s="80">
        <v>0</v>
      </c>
      <c r="D102" s="214">
        <v>0</v>
      </c>
    </row>
    <row r="103" spans="1:4" x14ac:dyDescent="0.25">
      <c r="A103" s="85">
        <v>700</v>
      </c>
      <c r="B103" s="85" t="s">
        <v>9</v>
      </c>
      <c r="C103" s="86">
        <v>0</v>
      </c>
      <c r="D103" s="216">
        <v>0</v>
      </c>
    </row>
    <row r="104" spans="1:4" x14ac:dyDescent="0.25">
      <c r="A104" s="85">
        <v>800</v>
      </c>
      <c r="B104" s="85" t="s">
        <v>199</v>
      </c>
      <c r="C104" s="86">
        <v>0</v>
      </c>
      <c r="D104" s="216">
        <v>17</v>
      </c>
    </row>
    <row r="105" spans="1:4" ht="15.75" thickBot="1" x14ac:dyDescent="0.3">
      <c r="B105" s="89" t="s">
        <v>123</v>
      </c>
      <c r="C105" s="91">
        <f>SUM(C97:C104)</f>
        <v>0</v>
      </c>
      <c r="D105" s="215">
        <f>SUM(D97:D104)</f>
        <v>1178</v>
      </c>
    </row>
    <row r="106" spans="1:4" ht="15.75" thickTop="1" x14ac:dyDescent="0.25">
      <c r="C106" s="94"/>
      <c r="D106" s="217"/>
    </row>
    <row r="107" spans="1:4" ht="15.75" thickBot="1" x14ac:dyDescent="0.3">
      <c r="B107" s="89" t="s">
        <v>200</v>
      </c>
      <c r="C107" s="105">
        <f>+C94-C105</f>
        <v>0</v>
      </c>
      <c r="D107" s="105">
        <f>+D94-D105</f>
        <v>0</v>
      </c>
    </row>
    <row r="108" spans="1:4" ht="15.75" thickTop="1" x14ac:dyDescent="0.25"/>
    <row r="109" spans="1:4" x14ac:dyDescent="0.25">
      <c r="C109" t="s">
        <v>344</v>
      </c>
    </row>
  </sheetData>
  <mergeCells count="30">
    <mergeCell ref="C90:D90"/>
    <mergeCell ref="C91:D91"/>
    <mergeCell ref="R65:S65"/>
    <mergeCell ref="R66:S66"/>
    <mergeCell ref="W65:X65"/>
    <mergeCell ref="W66:X66"/>
    <mergeCell ref="C65:D65"/>
    <mergeCell ref="C66:D66"/>
    <mergeCell ref="H65:I65"/>
    <mergeCell ref="H66:I66"/>
    <mergeCell ref="M65:N65"/>
    <mergeCell ref="M66:N66"/>
    <mergeCell ref="M16:N16"/>
    <mergeCell ref="M17:N17"/>
    <mergeCell ref="M42:N42"/>
    <mergeCell ref="R42:S42"/>
    <mergeCell ref="W42:X42"/>
    <mergeCell ref="C16:D16"/>
    <mergeCell ref="H16:I16"/>
    <mergeCell ref="C17:D17"/>
    <mergeCell ref="H17:I17"/>
    <mergeCell ref="C42:D42"/>
    <mergeCell ref="H42:I42"/>
    <mergeCell ref="AB42:AC42"/>
    <mergeCell ref="C43:D43"/>
    <mergeCell ref="H43:I43"/>
    <mergeCell ref="M43:N43"/>
    <mergeCell ref="R43:S43"/>
    <mergeCell ref="W43:X43"/>
    <mergeCell ref="AB43:AC43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zoomScale="120" zoomScaleNormal="120" workbookViewId="0">
      <selection activeCell="H11" sqref="H11"/>
    </sheetView>
  </sheetViews>
  <sheetFormatPr defaultRowHeight="15" x14ac:dyDescent="0.25"/>
  <cols>
    <col min="2" max="2" width="13.5703125" customWidth="1"/>
  </cols>
  <sheetData>
    <row r="2" spans="2:3" x14ac:dyDescent="0.25">
      <c r="B2" s="46" t="s">
        <v>179</v>
      </c>
    </row>
    <row r="3" spans="2:3" x14ac:dyDescent="0.25">
      <c r="B3" t="s">
        <v>177</v>
      </c>
      <c r="C3" t="s">
        <v>178</v>
      </c>
    </row>
    <row r="5" spans="2:3" x14ac:dyDescent="0.25">
      <c r="B5" s="46" t="s">
        <v>180</v>
      </c>
    </row>
    <row r="6" spans="2:3" x14ac:dyDescent="0.25">
      <c r="B6" t="s">
        <v>177</v>
      </c>
      <c r="C6" t="s">
        <v>181</v>
      </c>
    </row>
    <row r="8" spans="2:3" x14ac:dyDescent="0.25">
      <c r="B8" s="46" t="s">
        <v>182</v>
      </c>
    </row>
    <row r="9" spans="2:3" x14ac:dyDescent="0.25">
      <c r="B9" t="s">
        <v>177</v>
      </c>
      <c r="C9" t="s">
        <v>183</v>
      </c>
    </row>
    <row r="15" spans="2:3" x14ac:dyDescent="0.25">
      <c r="B15" t="s">
        <v>190</v>
      </c>
    </row>
    <row r="16" spans="2:3" x14ac:dyDescent="0.25">
      <c r="B16" s="46" t="s">
        <v>184</v>
      </c>
    </row>
    <row r="17" spans="2:3" x14ac:dyDescent="0.25">
      <c r="B17" s="205">
        <v>2.75E-2</v>
      </c>
      <c r="C17" t="s">
        <v>185</v>
      </c>
    </row>
    <row r="19" spans="2:3" x14ac:dyDescent="0.25">
      <c r="B19" s="46" t="s">
        <v>186</v>
      </c>
    </row>
    <row r="20" spans="2:3" x14ac:dyDescent="0.25">
      <c r="B20" s="149">
        <v>3190.2</v>
      </c>
      <c r="C20" t="s">
        <v>189</v>
      </c>
    </row>
    <row r="21" spans="2:3" x14ac:dyDescent="0.25">
      <c r="B21" s="149">
        <v>382824</v>
      </c>
      <c r="C21" t="s">
        <v>187</v>
      </c>
    </row>
    <row r="22" spans="2:3" x14ac:dyDescent="0.25">
      <c r="B22" t="s">
        <v>188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Summary</vt:lpstr>
      <vt:lpstr>Budget Detail</vt:lpstr>
      <vt:lpstr>Summary Support</vt:lpstr>
      <vt:lpstr>Grants</vt:lpstr>
      <vt:lpstr>Grants FY22</vt:lpstr>
      <vt:lpstr>Facility</vt:lpstr>
      <vt:lpstr>'Budget Detail'!Print_Area</vt:lpstr>
      <vt:lpstr>'Budget Detail'!Print_Titles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Matt Lovell</cp:lastModifiedBy>
  <cp:lastPrinted>2021-11-19T03:08:44Z</cp:lastPrinted>
  <dcterms:created xsi:type="dcterms:W3CDTF">2010-09-23T04:43:17Z</dcterms:created>
  <dcterms:modified xsi:type="dcterms:W3CDTF">2022-04-12T21:24:25Z</dcterms:modified>
</cp:coreProperties>
</file>