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aybreakcompany-my.sharepoint.com/personal/gary_thirdcadence_com/Documents/Desktop/PID Reallocation/"/>
    </mc:Choice>
  </mc:AlternateContent>
  <xr:revisionPtr revIDLastSave="98" documentId="8_{C207DFA1-0BFC-4B59-BE6A-FA11021C2C62}" xr6:coauthVersionLast="47" xr6:coauthVersionMax="47" xr10:uidLastSave="{D3F46AD9-9400-4B64-8AE7-6678C5C607A4}"/>
  <bookViews>
    <workbookView xWindow="-120" yWindow="-120" windowWidth="29040" windowHeight="15720" tabRatio="876" activeTab="1" xr2:uid="{00000000-000D-0000-FFFF-FFFF00000000}"/>
  </bookViews>
  <sheets>
    <sheet name="Study 12p 05Oct26" sheetId="76" r:id="rId1"/>
    <sheet name="12p OS Calcs 05Oct26" sheetId="80" r:id="rId2"/>
    <sheet name="12p Open Space 05Oct26" sheetId="81" r:id="rId3"/>
  </sheets>
  <definedNames>
    <definedName name="_xlnm.Print_Area" localSheetId="2">'12p Open Space 05Oct26'!$G$1:$S$57</definedName>
    <definedName name="_xlnm.Print_Area" localSheetId="0">'Study 12p 05Oct26'!$F$3:$AJ$31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3" i="80" l="1"/>
  <c r="I3" i="80"/>
  <c r="A16" i="80"/>
  <c r="B16" i="80"/>
  <c r="U3" i="80"/>
  <c r="C16" i="80"/>
  <c r="E4" i="80"/>
  <c r="E5" i="80"/>
  <c r="F5" i="80" s="1"/>
  <c r="E6" i="80"/>
  <c r="F6" i="80" s="1"/>
  <c r="E7" i="80"/>
  <c r="F7" i="80" s="1"/>
  <c r="E8" i="80"/>
  <c r="F8" i="80" s="1"/>
  <c r="E9" i="80"/>
  <c r="F9" i="80" s="1"/>
  <c r="E10" i="80"/>
  <c r="E11" i="80"/>
  <c r="F11" i="80" s="1"/>
  <c r="E12" i="80"/>
  <c r="E13" i="80"/>
  <c r="E14" i="80"/>
  <c r="E15" i="80"/>
  <c r="E3" i="80"/>
  <c r="T3" i="80" s="1"/>
  <c r="V3" i="80" s="1"/>
  <c r="K29" i="81"/>
  <c r="K30" i="81" s="1"/>
  <c r="J29" i="81"/>
  <c r="J30" i="81" s="1"/>
  <c r="I29" i="81"/>
  <c r="I30" i="81" s="1"/>
  <c r="H29" i="81"/>
  <c r="S12" i="81" s="1"/>
  <c r="Q27" i="81"/>
  <c r="Q28" i="81" s="1"/>
  <c r="P27" i="81"/>
  <c r="P28" i="81" s="1"/>
  <c r="O27" i="81"/>
  <c r="O28" i="81" s="1"/>
  <c r="N27" i="81"/>
  <c r="N28" i="81" s="1"/>
  <c r="T26" i="81"/>
  <c r="T27" i="81" s="1"/>
  <c r="R24" i="76"/>
  <c r="AD27" i="76"/>
  <c r="U27" i="76"/>
  <c r="T27" i="76"/>
  <c r="S27" i="76"/>
  <c r="Q27" i="76"/>
  <c r="P27" i="76"/>
  <c r="O27" i="76"/>
  <c r="N27" i="76"/>
  <c r="M27" i="76"/>
  <c r="L27" i="76"/>
  <c r="W26" i="76"/>
  <c r="W25" i="76"/>
  <c r="AE25" i="76" s="1"/>
  <c r="J25" i="76"/>
  <c r="J24" i="76"/>
  <c r="W23" i="76"/>
  <c r="AE23" i="76" s="1"/>
  <c r="J23" i="76"/>
  <c r="W22" i="76"/>
  <c r="J22" i="76"/>
  <c r="W21" i="76"/>
  <c r="J21" i="76"/>
  <c r="W20" i="76"/>
  <c r="AE20" i="76" s="1"/>
  <c r="J20" i="76"/>
  <c r="W19" i="76"/>
  <c r="J19" i="76"/>
  <c r="W18" i="76"/>
  <c r="W17" i="76"/>
  <c r="W16" i="76"/>
  <c r="AE16" i="76" s="1"/>
  <c r="W15" i="76"/>
  <c r="W14" i="76"/>
  <c r="AE14" i="76" s="1"/>
  <c r="L3" i="80" l="1"/>
  <c r="F15" i="80"/>
  <c r="F14" i="80"/>
  <c r="F3" i="80"/>
  <c r="F13" i="80"/>
  <c r="F12" i="80"/>
  <c r="F4" i="80"/>
  <c r="F10" i="80"/>
  <c r="S20" i="81"/>
  <c r="R27" i="76"/>
  <c r="W24" i="76"/>
  <c r="X24" i="76" s="1"/>
  <c r="S19" i="81"/>
  <c r="S7" i="81" s="1"/>
  <c r="H30" i="81"/>
  <c r="S13" i="81" s="1"/>
  <c r="S8" i="81" s="1"/>
  <c r="T29" i="81" s="1"/>
  <c r="AE15" i="76"/>
  <c r="AE19" i="76"/>
  <c r="AE18" i="76"/>
  <c r="AE17" i="76"/>
  <c r="AA14" i="76"/>
  <c r="X15" i="76"/>
  <c r="AF14" i="76"/>
  <c r="X18" i="76"/>
  <c r="AE21" i="76"/>
  <c r="X14" i="76"/>
  <c r="AE26" i="76"/>
  <c r="W27" i="76"/>
  <c r="AE22" i="76"/>
  <c r="X21" i="76"/>
  <c r="X26" i="76"/>
  <c r="F16" i="80" l="1"/>
  <c r="AE24" i="76"/>
  <c r="AE27" i="76" s="1"/>
  <c r="AF21" i="76"/>
  <c r="AF26" i="76"/>
  <c r="AF24" i="76"/>
  <c r="AI14" i="76"/>
  <c r="AA18" i="76"/>
  <c r="AB18" i="76" s="1"/>
  <c r="AF18" i="76"/>
  <c r="AF15" i="76"/>
  <c r="Z21" i="76"/>
  <c r="Z15" i="76"/>
  <c r="Z24" i="76"/>
  <c r="Z18" i="76"/>
  <c r="Z26" i="76"/>
  <c r="AB14" i="76"/>
  <c r="X27" i="76"/>
  <c r="Z14" i="76"/>
  <c r="F20" i="80" l="1"/>
  <c r="H4" i="80" s="1"/>
  <c r="H5" i="80"/>
  <c r="J5" i="80" s="1"/>
  <c r="H6" i="80"/>
  <c r="J6" i="80" s="1"/>
  <c r="H11" i="80"/>
  <c r="J11" i="80" s="1"/>
  <c r="H7" i="80"/>
  <c r="J7" i="80" s="1"/>
  <c r="H10" i="80"/>
  <c r="H12" i="80"/>
  <c r="H13" i="80"/>
  <c r="J13" i="80" s="1"/>
  <c r="H14" i="80"/>
  <c r="J14" i="80" s="1"/>
  <c r="H15" i="80"/>
  <c r="J15" i="80" s="1"/>
  <c r="H8" i="80"/>
  <c r="J8" i="80" s="1"/>
  <c r="I11" i="80"/>
  <c r="I5" i="80"/>
  <c r="I6" i="80"/>
  <c r="I7" i="80"/>
  <c r="AI18" i="76"/>
  <c r="AI27" i="76" s="1"/>
  <c r="AJ14" i="76"/>
  <c r="AF27" i="76"/>
  <c r="AH14" i="76"/>
  <c r="Z27" i="76"/>
  <c r="AB27" i="76" s="1"/>
  <c r="AH15" i="76"/>
  <c r="AH24" i="76"/>
  <c r="AH21" i="76"/>
  <c r="AH29" i="76"/>
  <c r="AH31" i="76" s="1"/>
  <c r="AH18" i="76"/>
  <c r="AH26" i="76"/>
  <c r="K11" i="80" l="1"/>
  <c r="L11" i="80"/>
  <c r="K5" i="80"/>
  <c r="L5" i="80"/>
  <c r="K6" i="80"/>
  <c r="L6" i="80"/>
  <c r="K7" i="80"/>
  <c r="L7" i="80"/>
  <c r="N12" i="80"/>
  <c r="I15" i="80"/>
  <c r="J12" i="80"/>
  <c r="I12" i="80"/>
  <c r="J4" i="80"/>
  <c r="I4" i="80"/>
  <c r="I13" i="80"/>
  <c r="J10" i="80"/>
  <c r="I10" i="80"/>
  <c r="I14" i="80"/>
  <c r="I8" i="80"/>
  <c r="N9" i="80"/>
  <c r="N10" i="80"/>
  <c r="N11" i="80"/>
  <c r="N13" i="80"/>
  <c r="N15" i="80"/>
  <c r="S8" i="80"/>
  <c r="N3" i="80"/>
  <c r="S14" i="80"/>
  <c r="S10" i="80"/>
  <c r="N6" i="80"/>
  <c r="S7" i="80"/>
  <c r="N14" i="80"/>
  <c r="S15" i="80"/>
  <c r="S9" i="80"/>
  <c r="N7" i="80"/>
  <c r="S11" i="80"/>
  <c r="S5" i="80"/>
  <c r="S4" i="80"/>
  <c r="N8" i="80"/>
  <c r="N4" i="80"/>
  <c r="S6" i="80"/>
  <c r="S13" i="80"/>
  <c r="N5" i="80"/>
  <c r="S12" i="80"/>
  <c r="AJ18" i="76"/>
  <c r="AJ27" i="76" s="1"/>
  <c r="AH27" i="76"/>
  <c r="K12" i="80" l="1"/>
  <c r="L12" i="80"/>
  <c r="K15" i="80"/>
  <c r="L15" i="80"/>
  <c r="O12" i="80"/>
  <c r="P12" i="80"/>
  <c r="K8" i="80"/>
  <c r="L8" i="80"/>
  <c r="K14" i="80"/>
  <c r="L14" i="80"/>
  <c r="K10" i="80"/>
  <c r="L10" i="80"/>
  <c r="K13" i="80"/>
  <c r="L13" i="80"/>
  <c r="K4" i="80"/>
  <c r="L4" i="80"/>
  <c r="O5" i="80"/>
  <c r="P5" i="80"/>
  <c r="P15" i="80"/>
  <c r="O15" i="80"/>
  <c r="O11" i="80"/>
  <c r="P11" i="80"/>
  <c r="O9" i="80"/>
  <c r="P9" i="80"/>
  <c r="O13" i="80"/>
  <c r="P13" i="80"/>
  <c r="T8" i="80"/>
  <c r="U8" i="80"/>
  <c r="O8" i="80"/>
  <c r="P8" i="80"/>
  <c r="U4" i="80"/>
  <c r="T4" i="80"/>
  <c r="T11" i="80"/>
  <c r="U11" i="80"/>
  <c r="P7" i="80"/>
  <c r="O7" i="80"/>
  <c r="U15" i="80"/>
  <c r="T15" i="80"/>
  <c r="P3" i="80"/>
  <c r="O3" i="80"/>
  <c r="O4" i="80"/>
  <c r="P4" i="80"/>
  <c r="T5" i="80"/>
  <c r="U5" i="80"/>
  <c r="U9" i="80"/>
  <c r="T9" i="80"/>
  <c r="J16" i="80"/>
  <c r="U13" i="80"/>
  <c r="T13" i="80"/>
  <c r="T6" i="80"/>
  <c r="U6" i="80"/>
  <c r="O10" i="80"/>
  <c r="P10" i="80"/>
  <c r="P14" i="80"/>
  <c r="O14" i="80"/>
  <c r="T7" i="80"/>
  <c r="U7" i="80"/>
  <c r="O6" i="80"/>
  <c r="P6" i="80"/>
  <c r="T10" i="80"/>
  <c r="U10" i="80"/>
  <c r="T12" i="80"/>
  <c r="U12" i="80"/>
  <c r="T14" i="80"/>
  <c r="U14" i="80"/>
  <c r="K16" i="80" l="1"/>
  <c r="Q12" i="80"/>
  <c r="Q14" i="80"/>
  <c r="V7" i="80"/>
  <c r="V5" i="80"/>
  <c r="Q3" i="80"/>
  <c r="Q8" i="80"/>
  <c r="V6" i="80"/>
  <c r="P16" i="80"/>
  <c r="Q13" i="80"/>
  <c r="V12" i="80"/>
  <c r="V13" i="80"/>
  <c r="Q7" i="80"/>
  <c r="V10" i="80"/>
  <c r="V14" i="80"/>
  <c r="V8" i="80"/>
  <c r="V15" i="80"/>
  <c r="Q9" i="80"/>
  <c r="Q11" i="80"/>
  <c r="V9" i="80"/>
  <c r="Q15" i="80"/>
  <c r="Q6" i="80"/>
  <c r="V11" i="80"/>
  <c r="V4" i="80"/>
  <c r="Q4" i="80"/>
  <c r="Q10" i="80"/>
  <c r="U16" i="80"/>
  <c r="Q5" i="80"/>
  <c r="V16" i="80" l="1"/>
  <c r="Q16" i="80"/>
</calcChain>
</file>

<file path=xl/sharedStrings.xml><?xml version="1.0" encoding="utf-8"?>
<sst xmlns="http://schemas.openxmlformats.org/spreadsheetml/2006/main" count="121" uniqueCount="89">
  <si>
    <r>
      <t xml:space="preserve">Small Lot SF
</t>
    </r>
    <r>
      <rPr>
        <sz val="12"/>
        <rFont val="Arial"/>
        <family val="2"/>
      </rPr>
      <t>42x85 Basement</t>
    </r>
  </si>
  <si>
    <r>
      <rPr>
        <b/>
        <sz val="12"/>
        <rFont val="Arial"/>
        <family val="2"/>
      </rPr>
      <t>SFD 1</t>
    </r>
    <r>
      <rPr>
        <sz val="12"/>
        <rFont val="Arial"/>
        <family val="2"/>
      </rPr>
      <t xml:space="preserve">
47x85 Basement</t>
    </r>
  </si>
  <si>
    <r>
      <t xml:space="preserve">SFD 2
</t>
    </r>
    <r>
      <rPr>
        <sz val="12"/>
        <rFont val="Arial"/>
        <family val="2"/>
      </rPr>
      <t>50x100 Basement</t>
    </r>
  </si>
  <si>
    <r>
      <t xml:space="preserve">SFD 3
</t>
    </r>
    <r>
      <rPr>
        <sz val="12"/>
        <rFont val="Arial"/>
        <family val="2"/>
      </rPr>
      <t>60x100 Basement</t>
    </r>
  </si>
  <si>
    <r>
      <t xml:space="preserve">SFD 4
</t>
    </r>
    <r>
      <rPr>
        <sz val="12"/>
        <rFont val="Arial"/>
        <family val="2"/>
      </rPr>
      <t>70x100 Basement</t>
    </r>
  </si>
  <si>
    <r>
      <t xml:space="preserve">Alley with yard
</t>
    </r>
    <r>
      <rPr>
        <sz val="12"/>
        <rFont val="Arial"/>
        <family val="2"/>
      </rPr>
      <t>38x85 No Basement</t>
    </r>
  </si>
  <si>
    <t>Units</t>
  </si>
  <si>
    <t>9</t>
  </si>
  <si>
    <r>
      <t xml:space="preserve">Row THM /THM 3
</t>
    </r>
    <r>
      <rPr>
        <sz val="12"/>
        <rFont val="Arial"/>
        <family val="2"/>
      </rPr>
      <t>24x75</t>
    </r>
  </si>
  <si>
    <r>
      <t xml:space="preserve">Towns/Flats - Shallow
</t>
    </r>
    <r>
      <rPr>
        <sz val="12"/>
        <rFont val="Arial"/>
        <family val="2"/>
      </rPr>
      <t>24x55</t>
    </r>
  </si>
  <si>
    <r>
      <t xml:space="preserve">SFD 5
</t>
    </r>
    <r>
      <rPr>
        <sz val="12"/>
        <rFont val="Arial"/>
        <family val="2"/>
      </rPr>
      <t>75x120 Basement</t>
    </r>
  </si>
  <si>
    <r>
      <t xml:space="preserve">SFD 6
</t>
    </r>
    <r>
      <rPr>
        <sz val="12"/>
        <rFont val="Arial"/>
        <family val="2"/>
      </rPr>
      <t>90x120 Basement</t>
    </r>
  </si>
  <si>
    <t>Total Units</t>
  </si>
  <si>
    <t>Product</t>
  </si>
  <si>
    <t>Residential Units</t>
  </si>
  <si>
    <t>Target Unit Size</t>
  </si>
  <si>
    <t>Target Parcel Size</t>
  </si>
  <si>
    <t>Assumed 1125</t>
  </si>
  <si>
    <t>Assumed 1600</t>
  </si>
  <si>
    <t>1</t>
  </si>
  <si>
    <t>Lane Load</t>
  </si>
  <si>
    <t>Street Load
"Double Face"</t>
  </si>
  <si>
    <t>Block
Interior</t>
  </si>
  <si>
    <t>Assumed
2000</t>
  </si>
  <si>
    <t>Unutilized Entitlement</t>
  </si>
  <si>
    <t xml:space="preserve">Flats / Apartments </t>
  </si>
  <si>
    <t>Prepared by Hodges Design for Third Cadence</t>
  </si>
  <si>
    <t>Entitlement</t>
  </si>
  <si>
    <t>Model Units</t>
  </si>
  <si>
    <t>Sale Units</t>
  </si>
  <si>
    <t>Building Type
Distribution</t>
  </si>
  <si>
    <t>Total SF</t>
  </si>
  <si>
    <t>Total Acres</t>
  </si>
  <si>
    <t>3t</t>
  </si>
  <si>
    <t>10s</t>
  </si>
  <si>
    <t>10t</t>
  </si>
  <si>
    <t>7s</t>
  </si>
  <si>
    <t>7t</t>
  </si>
  <si>
    <t>Open Space Acreage</t>
  </si>
  <si>
    <t>Phase</t>
  </si>
  <si>
    <t>South Neighborhoods</t>
  </si>
  <si>
    <t>North Neighborhoods</t>
  </si>
  <si>
    <t>Phases 2 - 5</t>
  </si>
  <si>
    <t>Phases 6 - 9</t>
  </si>
  <si>
    <t>Phases 2 -9 Totals</t>
  </si>
  <si>
    <t xml:space="preserve">Phase 1 </t>
  </si>
  <si>
    <t>Phase 10</t>
  </si>
  <si>
    <t>Estimated Phases</t>
  </si>
  <si>
    <t>Wilderness Interface Trail (WIF Trail)</t>
  </si>
  <si>
    <t>Phase 2</t>
  </si>
  <si>
    <t>Phase 3</t>
  </si>
  <si>
    <t>Phase 4</t>
  </si>
  <si>
    <t xml:space="preserve">Phase 5 </t>
  </si>
  <si>
    <t xml:space="preserve">Phase 6 </t>
  </si>
  <si>
    <t xml:space="preserve">Phase 7 </t>
  </si>
  <si>
    <t>Phase 8</t>
  </si>
  <si>
    <t>Phase 9</t>
  </si>
  <si>
    <t>Terraine</t>
  </si>
  <si>
    <r>
      <t xml:space="preserve">SFD 7
</t>
    </r>
    <r>
      <rPr>
        <sz val="12"/>
        <rFont val="Arial"/>
        <family val="2"/>
      </rPr>
      <t>50x85+ Basement</t>
    </r>
  </si>
  <si>
    <t>Garage Access</t>
  </si>
  <si>
    <r>
      <t xml:space="preserve">with Wood Tract 
</t>
    </r>
    <r>
      <rPr>
        <sz val="14"/>
        <rFont val="Arial"/>
        <family val="2"/>
      </rPr>
      <t>(Phase 10)</t>
    </r>
  </si>
  <si>
    <t>% by
Unit Type</t>
  </si>
  <si>
    <r>
      <t xml:space="preserve">Wood
</t>
    </r>
    <r>
      <rPr>
        <sz val="12"/>
        <rFont val="Arial"/>
        <family val="2"/>
      </rPr>
      <t>(Phase 10)</t>
    </r>
  </si>
  <si>
    <t>Not Recalculated Since Study 12n</t>
  </si>
  <si>
    <r>
      <t>Segmentation and Land Usage</t>
    </r>
    <r>
      <rPr>
        <sz val="36"/>
        <rFont val="Arial"/>
        <family val="2"/>
      </rPr>
      <t xml:space="preserve"> - Study 12p compared with previous Study 12o </t>
    </r>
    <r>
      <rPr>
        <sz val="24"/>
        <rFont val="Arial"/>
        <family val="2"/>
      </rPr>
      <t>(27 Sep 2025 version)</t>
    </r>
  </si>
  <si>
    <r>
      <t>Units in this Plan</t>
    </r>
    <r>
      <rPr>
        <sz val="14"/>
        <rFont val="Arial"/>
        <family val="2"/>
      </rPr>
      <t xml:space="preserve"> (including Mixed-Use)</t>
    </r>
  </si>
  <si>
    <t>Units
Att / Det</t>
  </si>
  <si>
    <t>%
Att / Det</t>
  </si>
  <si>
    <t>sf</t>
  </si>
  <si>
    <t>ac</t>
  </si>
  <si>
    <t>Total OS</t>
  </si>
  <si>
    <r>
      <t xml:space="preserve">Current - Study 12p
</t>
    </r>
    <r>
      <rPr>
        <sz val="14"/>
        <rFont val="Arial"/>
        <family val="2"/>
      </rPr>
      <t>(using SW Corner Study 1b - no new land acquisition)</t>
    </r>
  </si>
  <si>
    <r>
      <t xml:space="preserve">Towns/Flats - Std
</t>
    </r>
    <r>
      <rPr>
        <sz val="12"/>
        <rFont val="Arial"/>
        <family val="2"/>
      </rPr>
      <t>20x75</t>
    </r>
  </si>
  <si>
    <t>5  October  2026</t>
  </si>
  <si>
    <t>Total Units including Wood Tract</t>
  </si>
  <si>
    <t>Difference</t>
  </si>
  <si>
    <t>Original</t>
  </si>
  <si>
    <t>Revised</t>
  </si>
  <si>
    <t>Total Lien-Original</t>
  </si>
  <si>
    <t>Original Lien</t>
  </si>
  <si>
    <t>% Increase</t>
  </si>
  <si>
    <t>Option 2-allocate evenly to all lots</t>
  </si>
  <si>
    <t>Option 3-allocate evenly only to TH &amp; SF</t>
  </si>
  <si>
    <t>Option 1-Allocate proportionately to TH &amp; SF</t>
  </si>
  <si>
    <t>Appraised Value/Lot</t>
  </si>
  <si>
    <t>Lien/Lot</t>
  </si>
  <si>
    <t>Total Lien/Segment</t>
  </si>
  <si>
    <t>Lien Increase/Lot</t>
  </si>
  <si>
    <t>Lien Increase/Segment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</si>
</sst>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* #,##0.000_);_(* \(#,##0.000\);_(* &quot;-&quot;??_);_(@_)"/>
  </numFmts>
  <fonts count="2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26"/>
      <color rgb="FFFF0000"/>
      <name val="Arial"/>
      <family val="2"/>
    </font>
    <font>
      <b/>
      <sz val="18"/>
      <color rgb="FFFF0000"/>
      <name val="Arial"/>
      <family val="2"/>
    </font>
    <font>
      <b/>
      <sz val="14"/>
      <name val="Symbol"/>
      <family val="1"/>
      <charset val="2"/>
    </font>
    <font>
      <b/>
      <sz val="14"/>
      <name val="Symbol"/>
      <family val="2"/>
      <charset val="2"/>
    </font>
    <font>
      <b/>
      <sz val="22"/>
      <name val="Arial"/>
      <family val="2"/>
    </font>
    <font>
      <sz val="16"/>
      <name val="Arial"/>
      <family val="2"/>
    </font>
    <font>
      <b/>
      <sz val="16"/>
      <color rgb="FFFF0000"/>
      <name val="Arial"/>
      <family val="2"/>
    </font>
    <font>
      <b/>
      <sz val="22"/>
      <color rgb="FFFF0000"/>
      <name val="Arial"/>
      <family val="2"/>
    </font>
    <font>
      <b/>
      <sz val="18"/>
      <name val="Arial"/>
      <family val="2"/>
    </font>
    <font>
      <b/>
      <sz val="36"/>
      <name val="Arial"/>
      <family val="2"/>
    </font>
    <font>
      <sz val="36"/>
      <name val="Arial"/>
      <family val="2"/>
    </font>
    <font>
      <b/>
      <sz val="14"/>
      <color rgb="FFFF0000"/>
      <name val="Arial"/>
      <family val="2"/>
    </font>
    <font>
      <b/>
      <sz val="11"/>
      <name val="Arial"/>
      <family val="2"/>
    </font>
    <font>
      <sz val="24"/>
      <name val="Arial"/>
      <family val="2"/>
    </font>
    <font>
      <b/>
      <sz val="28"/>
      <name val="Arial"/>
      <family val="2"/>
    </font>
    <font>
      <sz val="10"/>
      <name val="Arial"/>
    </font>
  </fonts>
  <fills count="2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DD4B"/>
        <bgColor indexed="64"/>
      </patternFill>
    </fill>
    <fill>
      <patternFill patternType="solid">
        <fgColor rgb="FFFFF0AF"/>
        <bgColor indexed="64"/>
      </patternFill>
    </fill>
    <fill>
      <patternFill patternType="solid">
        <fgColor rgb="FFFFFBEF"/>
        <bgColor indexed="64"/>
      </patternFill>
    </fill>
    <fill>
      <patternFill patternType="solid">
        <fgColor rgb="FFE4E3C7"/>
        <bgColor indexed="64"/>
      </patternFill>
    </fill>
    <fill>
      <patternFill patternType="solid">
        <fgColor rgb="FFFF5D5D"/>
        <bgColor indexed="64"/>
      </patternFill>
    </fill>
    <fill>
      <patternFill patternType="solid">
        <fgColor rgb="FFFFABAB"/>
        <bgColor indexed="64"/>
      </patternFill>
    </fill>
    <fill>
      <patternFill patternType="solid">
        <fgColor rgb="FFFF8761"/>
        <bgColor indexed="64"/>
      </patternFill>
    </fill>
    <fill>
      <patternFill patternType="solid">
        <fgColor rgb="FFAE93C9"/>
        <bgColor indexed="64"/>
      </patternFill>
    </fill>
    <fill>
      <patternFill patternType="solid">
        <fgColor rgb="FFFF3BFF"/>
        <bgColor indexed="64"/>
      </patternFill>
    </fill>
    <fill>
      <patternFill patternType="solid">
        <fgColor rgb="FFFFAD93"/>
        <bgColor indexed="64"/>
      </patternFill>
    </fill>
    <fill>
      <patternFill patternType="solid">
        <fgColor rgb="FFA6D86E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8" fillId="0" borderId="0" applyFont="0" applyFill="0" applyBorder="0" applyAlignment="0" applyProtection="0"/>
    <xf numFmtId="44" fontId="24" fillId="0" borderId="0" applyFont="0" applyFill="0" applyBorder="0" applyAlignment="0" applyProtection="0"/>
  </cellStyleXfs>
  <cellXfs count="3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indent="2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0" fontId="3" fillId="3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7" borderId="2" xfId="0" applyFont="1" applyFill="1" applyBorder="1" applyAlignment="1">
      <alignment horizontal="center" vertical="center"/>
    </xf>
    <xf numFmtId="0" fontId="3" fillId="13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9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9" borderId="5" xfId="0" quotePrefix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vertical="center" wrapText="1"/>
    </xf>
    <xf numFmtId="0" fontId="4" fillId="7" borderId="8" xfId="0" applyFont="1" applyFill="1" applyBorder="1" applyAlignment="1">
      <alignment horizontal="center" vertical="center" wrapText="1"/>
    </xf>
    <xf numFmtId="3" fontId="4" fillId="7" borderId="8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3" fontId="4" fillId="3" borderId="8" xfId="0" applyNumberFormat="1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3" fontId="4" fillId="4" borderId="7" xfId="0" applyNumberFormat="1" applyFont="1" applyFill="1" applyBorder="1" applyAlignment="1">
      <alignment horizontal="center" vertical="center" wrapText="1"/>
    </xf>
    <xf numFmtId="3" fontId="4" fillId="13" borderId="10" xfId="0" applyNumberFormat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3" fontId="4" fillId="2" borderId="9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9" fontId="2" fillId="0" borderId="11" xfId="0" applyNumberFormat="1" applyFont="1" applyBorder="1" applyAlignment="1">
      <alignment horizontal="center" vertical="center" wrapText="1"/>
    </xf>
    <xf numFmtId="0" fontId="3" fillId="8" borderId="7" xfId="0" applyFont="1" applyFill="1" applyBorder="1" applyAlignment="1">
      <alignment horizontal="left" vertical="center" wrapText="1"/>
    </xf>
    <xf numFmtId="0" fontId="4" fillId="8" borderId="7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left" vertical="center" wrapText="1"/>
    </xf>
    <xf numFmtId="0" fontId="4" fillId="11" borderId="7" xfId="0" applyFont="1" applyFill="1" applyBorder="1" applyAlignment="1">
      <alignment horizontal="center" vertical="center" wrapText="1"/>
    </xf>
    <xf numFmtId="3" fontId="4" fillId="11" borderId="7" xfId="0" applyNumberFormat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left" vertical="center" wrapText="1"/>
    </xf>
    <xf numFmtId="0" fontId="3" fillId="8" borderId="4" xfId="0" applyFont="1" applyFill="1" applyBorder="1" applyAlignment="1">
      <alignment horizontal="center" vertical="center"/>
    </xf>
    <xf numFmtId="0" fontId="3" fillId="11" borderId="4" xfId="0" applyFont="1" applyFill="1" applyBorder="1" applyAlignment="1">
      <alignment horizontal="center" vertical="center"/>
    </xf>
    <xf numFmtId="0" fontId="3" fillId="6" borderId="34" xfId="0" applyFont="1" applyFill="1" applyBorder="1" applyAlignment="1">
      <alignment horizontal="center" vertical="center"/>
    </xf>
    <xf numFmtId="0" fontId="3" fillId="6" borderId="47" xfId="0" applyFont="1" applyFill="1" applyBorder="1" applyAlignment="1">
      <alignment horizontal="left" vertical="center" wrapText="1"/>
    </xf>
    <xf numFmtId="0" fontId="4" fillId="6" borderId="47" xfId="0" applyFont="1" applyFill="1" applyBorder="1" applyAlignment="1">
      <alignment horizontal="center" vertical="center" wrapText="1"/>
    </xf>
    <xf numFmtId="3" fontId="4" fillId="6" borderId="47" xfId="0" applyNumberFormat="1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left" vertical="center" wrapText="1"/>
    </xf>
    <xf numFmtId="0" fontId="3" fillId="9" borderId="9" xfId="0" applyFont="1" applyFill="1" applyBorder="1" applyAlignment="1">
      <alignment horizontal="left" vertical="center" wrapText="1"/>
    </xf>
    <xf numFmtId="0" fontId="4" fillId="9" borderId="9" xfId="0" applyFont="1" applyFill="1" applyBorder="1" applyAlignment="1">
      <alignment horizontal="center" vertical="center" wrapText="1"/>
    </xf>
    <xf numFmtId="3" fontId="4" fillId="9" borderId="9" xfId="0" applyNumberFormat="1" applyFont="1" applyFill="1" applyBorder="1" applyAlignment="1">
      <alignment horizontal="center" vertical="center" wrapText="1"/>
    </xf>
    <xf numFmtId="0" fontId="3" fillId="10" borderId="2" xfId="0" applyFont="1" applyFill="1" applyBorder="1" applyAlignment="1">
      <alignment horizontal="center" vertical="center"/>
    </xf>
    <xf numFmtId="0" fontId="3" fillId="10" borderId="8" xfId="0" applyFont="1" applyFill="1" applyBorder="1" applyAlignment="1">
      <alignment horizontal="left" vertical="center" wrapText="1"/>
    </xf>
    <xf numFmtId="0" fontId="4" fillId="10" borderId="8" xfId="0" applyFont="1" applyFill="1" applyBorder="1" applyAlignment="1">
      <alignment horizontal="center" vertical="center" wrapText="1"/>
    </xf>
    <xf numFmtId="3" fontId="4" fillId="10" borderId="8" xfId="0" applyNumberFormat="1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left" vertical="center" wrapText="1"/>
    </xf>
    <xf numFmtId="0" fontId="4" fillId="12" borderId="9" xfId="0" applyFont="1" applyFill="1" applyBorder="1" applyAlignment="1">
      <alignment horizontal="center" vertical="center" wrapText="1"/>
    </xf>
    <xf numFmtId="3" fontId="4" fillId="12" borderId="9" xfId="0" applyNumberFormat="1" applyFont="1" applyFill="1" applyBorder="1" applyAlignment="1">
      <alignment horizontal="center" vertical="center" wrapText="1"/>
    </xf>
    <xf numFmtId="0" fontId="7" fillId="15" borderId="12" xfId="0" applyFont="1" applyFill="1" applyBorder="1" applyAlignment="1">
      <alignment horizontal="center" vertical="center"/>
    </xf>
    <xf numFmtId="0" fontId="3" fillId="15" borderId="46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3" fillId="0" borderId="19" xfId="0" applyFont="1" applyBorder="1" applyAlignment="1">
      <alignment horizontal="center" vertical="center" textRotation="90" wrapText="1"/>
    </xf>
    <xf numFmtId="0" fontId="3" fillId="13" borderId="10" xfId="0" applyFont="1" applyFill="1" applyBorder="1" applyAlignment="1">
      <alignment horizontal="left" vertical="center" wrapText="1"/>
    </xf>
    <xf numFmtId="0" fontId="4" fillId="13" borderId="10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left" vertical="center" wrapText="1"/>
    </xf>
    <xf numFmtId="0" fontId="4" fillId="5" borderId="9" xfId="0" applyFont="1" applyFill="1" applyBorder="1" applyAlignment="1">
      <alignment horizontal="center" vertical="center" wrapText="1"/>
    </xf>
    <xf numFmtId="3" fontId="4" fillId="5" borderId="9" xfId="0" applyNumberFormat="1" applyFont="1" applyFill="1" applyBorder="1" applyAlignment="1">
      <alignment horizontal="center" vertical="center" wrapText="1"/>
    </xf>
    <xf numFmtId="0" fontId="4" fillId="15" borderId="46" xfId="0" applyFont="1" applyFill="1" applyBorder="1" applyAlignment="1">
      <alignment horizontal="center" vertical="center"/>
    </xf>
    <xf numFmtId="0" fontId="4" fillId="15" borderId="46" xfId="0" applyFont="1" applyFill="1" applyBorder="1" applyAlignment="1">
      <alignment horizontal="center" vertical="center" wrapText="1"/>
    </xf>
    <xf numFmtId="3" fontId="1" fillId="0" borderId="0" xfId="0" applyNumberFormat="1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3" fontId="7" fillId="0" borderId="0" xfId="0" applyNumberFormat="1" applyFont="1" applyAlignment="1">
      <alignment vertical="center"/>
    </xf>
    <xf numFmtId="9" fontId="7" fillId="0" borderId="0" xfId="4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/>
    <xf numFmtId="49" fontId="3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right"/>
    </xf>
    <xf numFmtId="3" fontId="7" fillId="0" borderId="30" xfId="1" applyNumberFormat="1" applyFont="1" applyFill="1" applyBorder="1" applyAlignment="1">
      <alignment horizontal="center" vertical="center"/>
    </xf>
    <xf numFmtId="3" fontId="7" fillId="0" borderId="48" xfId="1" applyNumberFormat="1" applyFont="1" applyFill="1" applyBorder="1" applyAlignment="1">
      <alignment horizontal="center" vertical="center"/>
    </xf>
    <xf numFmtId="3" fontId="7" fillId="0" borderId="22" xfId="1" applyNumberFormat="1" applyFont="1" applyFill="1" applyBorder="1" applyAlignment="1">
      <alignment horizontal="center" vertical="center"/>
    </xf>
    <xf numFmtId="3" fontId="7" fillId="14" borderId="30" xfId="1" applyNumberFormat="1" applyFont="1" applyFill="1" applyBorder="1" applyAlignment="1">
      <alignment horizontal="center" vertical="center"/>
    </xf>
    <xf numFmtId="3" fontId="7" fillId="14" borderId="15" xfId="1" applyNumberFormat="1" applyFont="1" applyFill="1" applyBorder="1" applyAlignment="1">
      <alignment horizontal="center" vertical="center"/>
    </xf>
    <xf numFmtId="3" fontId="7" fillId="0" borderId="24" xfId="0" applyNumberFormat="1" applyFont="1" applyBorder="1" applyAlignment="1">
      <alignment horizontal="center" vertical="center"/>
    </xf>
    <xf numFmtId="0" fontId="7" fillId="7" borderId="13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7" fillId="8" borderId="44" xfId="0" applyFont="1" applyFill="1" applyBorder="1" applyAlignment="1">
      <alignment horizontal="center" vertical="center"/>
    </xf>
    <xf numFmtId="0" fontId="7" fillId="8" borderId="7" xfId="0" applyFont="1" applyFill="1" applyBorder="1" applyAlignment="1">
      <alignment horizontal="center" vertical="center"/>
    </xf>
    <xf numFmtId="0" fontId="7" fillId="9" borderId="11" xfId="0" applyFont="1" applyFill="1" applyBorder="1" applyAlignment="1">
      <alignment horizontal="center" vertical="center"/>
    </xf>
    <xf numFmtId="0" fontId="7" fillId="9" borderId="49" xfId="0" applyFont="1" applyFill="1" applyBorder="1" applyAlignment="1">
      <alignment horizontal="center" vertical="center"/>
    </xf>
    <xf numFmtId="0" fontId="7" fillId="10" borderId="13" xfId="0" applyFont="1" applyFill="1" applyBorder="1" applyAlignment="1">
      <alignment horizontal="center" vertical="center"/>
    </xf>
    <xf numFmtId="0" fontId="7" fillId="10" borderId="8" xfId="0" applyFont="1" applyFill="1" applyBorder="1" applyAlignment="1">
      <alignment horizontal="center" vertical="center"/>
    </xf>
    <xf numFmtId="0" fontId="7" fillId="10" borderId="41" xfId="0" applyFont="1" applyFill="1" applyBorder="1" applyAlignment="1">
      <alignment horizontal="center" vertical="center"/>
    </xf>
    <xf numFmtId="0" fontId="7" fillId="11" borderId="44" xfId="0" applyFont="1" applyFill="1" applyBorder="1" applyAlignment="1">
      <alignment horizontal="center" vertical="center"/>
    </xf>
    <xf numFmtId="0" fontId="7" fillId="11" borderId="7" xfId="0" applyFont="1" applyFill="1" applyBorder="1" applyAlignment="1">
      <alignment horizontal="center" vertical="center"/>
    </xf>
    <xf numFmtId="0" fontId="7" fillId="11" borderId="35" xfId="0" applyFont="1" applyFill="1" applyBorder="1" applyAlignment="1">
      <alignment horizontal="center" vertical="center"/>
    </xf>
    <xf numFmtId="0" fontId="7" fillId="12" borderId="37" xfId="0" applyFont="1" applyFill="1" applyBorder="1" applyAlignment="1">
      <alignment horizontal="center" vertical="center"/>
    </xf>
    <xf numFmtId="0" fontId="7" fillId="12" borderId="9" xfId="0" applyFont="1" applyFill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4" borderId="44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5" borderId="27" xfId="0" applyFont="1" applyFill="1" applyBorder="1" applyAlignment="1">
      <alignment horizontal="center" vertical="center"/>
    </xf>
    <xf numFmtId="0" fontId="7" fillId="5" borderId="46" xfId="0" applyFont="1" applyFill="1" applyBorder="1" applyAlignment="1">
      <alignment horizontal="center" vertical="center"/>
    </xf>
    <xf numFmtId="0" fontId="7" fillId="13" borderId="42" xfId="0" applyFont="1" applyFill="1" applyBorder="1" applyAlignment="1">
      <alignment horizontal="center" vertical="center"/>
    </xf>
    <xf numFmtId="0" fontId="7" fillId="13" borderId="10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2" borderId="43" xfId="0" applyFont="1" applyFill="1" applyBorder="1" applyAlignment="1">
      <alignment horizontal="center" vertical="center"/>
    </xf>
    <xf numFmtId="0" fontId="7" fillId="2" borderId="50" xfId="0" applyFont="1" applyFill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3" fontId="7" fillId="15" borderId="22" xfId="0" applyNumberFormat="1" applyFont="1" applyFill="1" applyBorder="1" applyAlignment="1">
      <alignment horizontal="center" vertical="center"/>
    </xf>
    <xf numFmtId="3" fontId="7" fillId="15" borderId="47" xfId="0" applyNumberFormat="1" applyFont="1" applyFill="1" applyBorder="1" applyAlignment="1">
      <alignment horizontal="center" vertical="center"/>
    </xf>
    <xf numFmtId="3" fontId="7" fillId="15" borderId="34" xfId="0" applyNumberFormat="1" applyFont="1" applyFill="1" applyBorder="1" applyAlignment="1">
      <alignment horizontal="center" vertical="center"/>
    </xf>
    <xf numFmtId="9" fontId="7" fillId="0" borderId="5" xfId="4" applyFont="1" applyFill="1" applyBorder="1" applyAlignment="1">
      <alignment horizontal="center" vertical="center"/>
    </xf>
    <xf numFmtId="0" fontId="15" fillId="0" borderId="0" xfId="0" applyFont="1" applyAlignment="1">
      <alignment horizontal="right"/>
    </xf>
    <xf numFmtId="3" fontId="7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right" vertical="center"/>
    </xf>
    <xf numFmtId="49" fontId="18" fillId="0" borderId="0" xfId="0" applyNumberFormat="1" applyFont="1" applyAlignment="1">
      <alignment vertical="center"/>
    </xf>
    <xf numFmtId="0" fontId="16" fillId="0" borderId="0" xfId="0" applyFont="1" applyAlignment="1">
      <alignment horizontal="left" indent="2"/>
    </xf>
    <xf numFmtId="9" fontId="7" fillId="0" borderId="2" xfId="4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3" fontId="7" fillId="0" borderId="0" xfId="0" applyNumberFormat="1" applyFont="1"/>
    <xf numFmtId="0" fontId="7" fillId="7" borderId="32" xfId="0" applyFont="1" applyFill="1" applyBorder="1" applyAlignment="1">
      <alignment horizontal="center" vertical="center"/>
    </xf>
    <xf numFmtId="0" fontId="7" fillId="8" borderId="29" xfId="0" applyFont="1" applyFill="1" applyBorder="1" applyAlignment="1">
      <alignment horizontal="center" vertical="center"/>
    </xf>
    <xf numFmtId="0" fontId="7" fillId="9" borderId="14" xfId="0" applyFont="1" applyFill="1" applyBorder="1" applyAlignment="1">
      <alignment horizontal="center" vertical="center"/>
    </xf>
    <xf numFmtId="0" fontId="7" fillId="10" borderId="32" xfId="0" applyFont="1" applyFill="1" applyBorder="1" applyAlignment="1">
      <alignment horizontal="center" vertical="center"/>
    </xf>
    <xf numFmtId="0" fontId="7" fillId="11" borderId="29" xfId="0" applyFont="1" applyFill="1" applyBorder="1" applyAlignment="1">
      <alignment horizontal="center" vertical="center"/>
    </xf>
    <xf numFmtId="0" fontId="7" fillId="12" borderId="52" xfId="0" applyFont="1" applyFill="1" applyBorder="1" applyAlignment="1">
      <alignment horizontal="center" vertical="center"/>
    </xf>
    <xf numFmtId="0" fontId="7" fillId="3" borderId="32" xfId="0" applyFont="1" applyFill="1" applyBorder="1" applyAlignment="1">
      <alignment horizontal="center" vertical="center"/>
    </xf>
    <xf numFmtId="0" fontId="7" fillId="4" borderId="29" xfId="0" applyFont="1" applyFill="1" applyBorder="1" applyAlignment="1">
      <alignment horizontal="center" vertical="center"/>
    </xf>
    <xf numFmtId="0" fontId="7" fillId="13" borderId="53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3" fontId="7" fillId="15" borderId="19" xfId="0" applyNumberFormat="1" applyFont="1" applyFill="1" applyBorder="1" applyAlignment="1">
      <alignment horizontal="center" vertical="center"/>
    </xf>
    <xf numFmtId="0" fontId="20" fillId="0" borderId="0" xfId="0" applyFont="1" applyAlignment="1">
      <alignment horizontal="right"/>
    </xf>
    <xf numFmtId="3" fontId="20" fillId="0" borderId="0" xfId="0" applyNumberFormat="1" applyFont="1"/>
    <xf numFmtId="0" fontId="7" fillId="12" borderId="38" xfId="0" applyFont="1" applyFill="1" applyBorder="1" applyAlignment="1">
      <alignment horizontal="center" vertical="center"/>
    </xf>
    <xf numFmtId="3" fontId="7" fillId="0" borderId="19" xfId="1" applyNumberFormat="1" applyFont="1" applyFill="1" applyBorder="1" applyAlignment="1">
      <alignment horizontal="center" vertical="center"/>
    </xf>
    <xf numFmtId="3" fontId="7" fillId="0" borderId="15" xfId="1" applyNumberFormat="1" applyFont="1" applyFill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5" borderId="52" xfId="0" applyFont="1" applyFill="1" applyBorder="1" applyAlignment="1">
      <alignment horizontal="center" vertical="center"/>
    </xf>
    <xf numFmtId="49" fontId="7" fillId="0" borderId="46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165" fontId="0" fillId="17" borderId="29" xfId="1" applyNumberFormat="1" applyFont="1" applyFill="1" applyBorder="1" applyAlignment="1">
      <alignment horizontal="center" vertical="center"/>
    </xf>
    <xf numFmtId="165" fontId="0" fillId="0" borderId="29" xfId="1" applyNumberFormat="1" applyFont="1" applyFill="1" applyBorder="1" applyAlignment="1">
      <alignment horizontal="center" vertical="center"/>
    </xf>
    <xf numFmtId="165" fontId="0" fillId="17" borderId="52" xfId="1" applyNumberFormat="1" applyFont="1" applyFill="1" applyBorder="1" applyAlignment="1">
      <alignment horizontal="center" vertical="center"/>
    </xf>
    <xf numFmtId="165" fontId="0" fillId="0" borderId="32" xfId="1" applyNumberFormat="1" applyFont="1" applyFill="1" applyBorder="1" applyAlignment="1">
      <alignment horizontal="center" vertical="center"/>
    </xf>
    <xf numFmtId="165" fontId="0" fillId="0" borderId="52" xfId="1" applyNumberFormat="1" applyFont="1" applyFill="1" applyBorder="1" applyAlignment="1">
      <alignment horizontal="center" vertical="center"/>
    </xf>
    <xf numFmtId="165" fontId="0" fillId="0" borderId="0" xfId="1" applyNumberFormat="1" applyFont="1" applyFill="1" applyBorder="1" applyAlignment="1">
      <alignment horizontal="center" vertical="center"/>
    </xf>
    <xf numFmtId="43" fontId="0" fillId="0" borderId="0" xfId="1" applyFont="1" applyFill="1" applyBorder="1" applyAlignment="1">
      <alignment horizontal="center" vertical="center"/>
    </xf>
    <xf numFmtId="49" fontId="17" fillId="0" borderId="0" xfId="0" applyNumberFormat="1" applyFont="1" applyAlignment="1">
      <alignment vertical="center"/>
    </xf>
    <xf numFmtId="0" fontId="1" fillId="0" borderId="0" xfId="0" applyFont="1" applyAlignment="1">
      <alignment horizontal="right" vertical="center" inden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vertical="center"/>
    </xf>
    <xf numFmtId="49" fontId="10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49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right" vertical="center" indent="1"/>
    </xf>
    <xf numFmtId="0" fontId="0" fillId="0" borderId="0" xfId="0" applyAlignment="1">
      <alignment horizontal="right" indent="2"/>
    </xf>
    <xf numFmtId="43" fontId="0" fillId="0" borderId="0" xfId="0" applyNumberFormat="1" applyAlignment="1">
      <alignment vertical="center"/>
    </xf>
    <xf numFmtId="43" fontId="2" fillId="0" borderId="0" xfId="0" applyNumberFormat="1" applyFont="1" applyAlignment="1">
      <alignment vertical="center"/>
    </xf>
    <xf numFmtId="43" fontId="0" fillId="0" borderId="3" xfId="1" applyFont="1" applyFill="1" applyBorder="1" applyAlignment="1">
      <alignment horizontal="center" vertical="center"/>
    </xf>
    <xf numFmtId="43" fontId="0" fillId="0" borderId="1" xfId="1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7" fillId="11" borderId="4" xfId="0" applyFont="1" applyFill="1" applyBorder="1" applyAlignment="1">
      <alignment horizontal="center" vertical="center"/>
    </xf>
    <xf numFmtId="0" fontId="7" fillId="10" borderId="2" xfId="0" applyFont="1" applyFill="1" applyBorder="1" applyAlignment="1">
      <alignment horizontal="center" vertical="center"/>
    </xf>
    <xf numFmtId="0" fontId="7" fillId="1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/>
    </xf>
    <xf numFmtId="9" fontId="7" fillId="0" borderId="0" xfId="0" applyNumberFormat="1" applyFont="1" applyAlignment="1">
      <alignment vertical="center"/>
    </xf>
    <xf numFmtId="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49" fontId="13" fillId="0" borderId="0" xfId="0" applyNumberFormat="1" applyFont="1" applyAlignment="1">
      <alignment vertical="center" wrapText="1"/>
    </xf>
    <xf numFmtId="0" fontId="6" fillId="0" borderId="0" xfId="0" applyFont="1"/>
    <xf numFmtId="3" fontId="7" fillId="0" borderId="33" xfId="0" applyNumberFormat="1" applyFont="1" applyBorder="1" applyAlignment="1">
      <alignment horizontal="center" vertical="center"/>
    </xf>
    <xf numFmtId="3" fontId="7" fillId="0" borderId="33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textRotation="90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quotePrefix="1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9" fontId="7" fillId="0" borderId="0" xfId="4" applyFont="1" applyFill="1" applyBorder="1" applyAlignment="1">
      <alignment vertical="center"/>
    </xf>
    <xf numFmtId="0" fontId="3" fillId="0" borderId="0" xfId="0" applyFont="1" applyAlignment="1">
      <alignment vertical="center" textRotation="90" wrapText="1"/>
    </xf>
    <xf numFmtId="0" fontId="3" fillId="0" borderId="0" xfId="0" applyFont="1" applyAlignment="1">
      <alignment vertical="center" textRotation="90"/>
    </xf>
    <xf numFmtId="164" fontId="7" fillId="0" borderId="0" xfId="4" applyNumberFormat="1" applyFont="1" applyFill="1" applyBorder="1" applyAlignment="1">
      <alignment vertical="center"/>
    </xf>
    <xf numFmtId="0" fontId="13" fillId="0" borderId="0" xfId="0" applyFont="1" applyAlignment="1">
      <alignment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6" fillId="0" borderId="0" xfId="0" applyFont="1" applyAlignment="1">
      <alignment horizontal="left" indent="2"/>
    </xf>
    <xf numFmtId="0" fontId="7" fillId="0" borderId="36" xfId="0" applyFont="1" applyBorder="1"/>
    <xf numFmtId="0" fontId="7" fillId="3" borderId="42" xfId="0" applyFont="1" applyFill="1" applyBorder="1" applyAlignment="1">
      <alignment horizontal="center" vertical="center"/>
    </xf>
    <xf numFmtId="0" fontId="7" fillId="0" borderId="1" xfId="0" quotePrefix="1" applyFont="1" applyBorder="1" applyAlignment="1">
      <alignment horizontal="center" vertical="center" wrapText="1"/>
    </xf>
    <xf numFmtId="49" fontId="11" fillId="0" borderId="0" xfId="0" applyNumberFormat="1" applyFont="1" applyAlignment="1">
      <alignment vertical="center" wrapText="1"/>
    </xf>
    <xf numFmtId="49" fontId="12" fillId="0" borderId="0" xfId="0" applyNumberFormat="1" applyFont="1" applyAlignment="1">
      <alignment vertical="center" wrapText="1"/>
    </xf>
    <xf numFmtId="165" fontId="1" fillId="0" borderId="4" xfId="1" applyNumberFormat="1" applyFont="1" applyFill="1" applyBorder="1" applyAlignment="1">
      <alignment horizontal="left" vertical="center" indent="1"/>
    </xf>
    <xf numFmtId="165" fontId="1" fillId="0" borderId="5" xfId="1" applyNumberFormat="1" applyFont="1" applyFill="1" applyBorder="1" applyAlignment="1">
      <alignment horizontal="left" vertical="center" indent="1"/>
    </xf>
    <xf numFmtId="165" fontId="0" fillId="0" borderId="5" xfId="1" applyNumberFormat="1" applyFont="1" applyFill="1" applyBorder="1" applyAlignment="1">
      <alignment horizontal="left" vertical="center" indent="1"/>
    </xf>
    <xf numFmtId="0" fontId="7" fillId="0" borderId="2" xfId="0" applyFont="1" applyBorder="1" applyAlignment="1">
      <alignment horizontal="center" vertical="center"/>
    </xf>
    <xf numFmtId="165" fontId="21" fillId="0" borderId="0" xfId="1" applyNumberFormat="1" applyFont="1" applyFill="1" applyBorder="1" applyAlignment="1">
      <alignment horizontal="center" vertical="center"/>
    </xf>
    <xf numFmtId="165" fontId="0" fillId="0" borderId="2" xfId="1" applyNumberFormat="1" applyFont="1" applyFill="1" applyBorder="1" applyAlignment="1">
      <alignment horizontal="left" vertical="center" indent="1"/>
    </xf>
    <xf numFmtId="0" fontId="0" fillId="0" borderId="0" xfId="0" applyAlignment="1">
      <alignment horizontal="right" vertical="center"/>
    </xf>
    <xf numFmtId="165" fontId="0" fillId="0" borderId="13" xfId="1" applyNumberFormat="1" applyFont="1" applyBorder="1" applyAlignment="1">
      <alignment horizontal="center" vertical="center"/>
    </xf>
    <xf numFmtId="165" fontId="0" fillId="17" borderId="44" xfId="1" applyNumberFormat="1" applyFont="1" applyFill="1" applyBorder="1" applyAlignment="1">
      <alignment horizontal="center" vertical="center"/>
    </xf>
    <xf numFmtId="165" fontId="0" fillId="0" borderId="44" xfId="1" applyNumberFormat="1" applyFont="1" applyBorder="1" applyAlignment="1">
      <alignment horizontal="center" vertical="center"/>
    </xf>
    <xf numFmtId="165" fontId="1" fillId="0" borderId="44" xfId="1" applyNumberFormat="1" applyFont="1" applyBorder="1" applyAlignment="1">
      <alignment horizontal="center" vertical="center"/>
    </xf>
    <xf numFmtId="165" fontId="0" fillId="0" borderId="44" xfId="1" applyNumberFormat="1" applyFont="1" applyFill="1" applyBorder="1" applyAlignment="1">
      <alignment horizontal="center" vertical="center"/>
    </xf>
    <xf numFmtId="165" fontId="0" fillId="17" borderId="37" xfId="1" applyNumberFormat="1" applyFont="1" applyFill="1" applyBorder="1" applyAlignment="1">
      <alignment horizontal="center" vertical="center"/>
    </xf>
    <xf numFmtId="165" fontId="0" fillId="0" borderId="40" xfId="1" applyNumberFormat="1" applyFont="1" applyFill="1" applyBorder="1" applyAlignment="1">
      <alignment horizontal="center" vertical="center"/>
    </xf>
    <xf numFmtId="165" fontId="0" fillId="0" borderId="45" xfId="1" applyNumberFormat="1" applyFont="1" applyFill="1" applyBorder="1" applyAlignment="1">
      <alignment horizontal="center" vertical="center"/>
    </xf>
    <xf numFmtId="165" fontId="0" fillId="17" borderId="45" xfId="1" applyNumberFormat="1" applyFont="1" applyFill="1" applyBorder="1" applyAlignment="1">
      <alignment horizontal="center" vertical="center"/>
    </xf>
    <xf numFmtId="165" fontId="0" fillId="17" borderId="39" xfId="1" applyNumberFormat="1" applyFont="1" applyFill="1" applyBorder="1" applyAlignment="1">
      <alignment horizontal="center" vertical="center"/>
    </xf>
    <xf numFmtId="165" fontId="2" fillId="0" borderId="0" xfId="1" applyNumberFormat="1" applyFont="1" applyFill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165" fontId="1" fillId="0" borderId="13" xfId="1" applyNumberFormat="1" applyFont="1" applyBorder="1" applyAlignment="1">
      <alignment horizontal="center" vertical="center"/>
    </xf>
    <xf numFmtId="165" fontId="1" fillId="0" borderId="32" xfId="1" applyNumberFormat="1" applyFont="1" applyBorder="1" applyAlignment="1">
      <alignment horizontal="center" vertical="center"/>
    </xf>
    <xf numFmtId="165" fontId="1" fillId="0" borderId="32" xfId="1" applyNumberFormat="1" applyFont="1" applyFill="1" applyBorder="1" applyAlignment="1">
      <alignment horizontal="center" vertical="center"/>
    </xf>
    <xf numFmtId="165" fontId="1" fillId="17" borderId="44" xfId="1" applyNumberFormat="1" applyFont="1" applyFill="1" applyBorder="1" applyAlignment="1">
      <alignment horizontal="center" vertical="center"/>
    </xf>
    <xf numFmtId="165" fontId="1" fillId="16" borderId="29" xfId="1" applyNumberFormat="1" applyFont="1" applyFill="1" applyBorder="1" applyAlignment="1">
      <alignment horizontal="center" vertical="center"/>
    </xf>
    <xf numFmtId="165" fontId="1" fillId="0" borderId="29" xfId="1" applyNumberFormat="1" applyFont="1" applyFill="1" applyBorder="1" applyAlignment="1">
      <alignment horizontal="center" vertical="center"/>
    </xf>
    <xf numFmtId="165" fontId="1" fillId="0" borderId="45" xfId="1" applyNumberFormat="1" applyFont="1" applyFill="1" applyBorder="1" applyAlignment="1">
      <alignment horizontal="center" vertical="center"/>
    </xf>
    <xf numFmtId="165" fontId="1" fillId="16" borderId="45" xfId="1" applyNumberFormat="1" applyFont="1" applyFill="1" applyBorder="1" applyAlignment="1">
      <alignment horizontal="center" vertical="center"/>
    </xf>
    <xf numFmtId="165" fontId="1" fillId="17" borderId="29" xfId="1" applyNumberFormat="1" applyFont="1" applyFill="1" applyBorder="1" applyAlignment="1">
      <alignment horizontal="center" vertical="center"/>
    </xf>
    <xf numFmtId="165" fontId="1" fillId="17" borderId="45" xfId="1" applyNumberFormat="1" applyFont="1" applyFill="1" applyBorder="1" applyAlignment="1">
      <alignment horizontal="center" vertical="center"/>
    </xf>
    <xf numFmtId="165" fontId="1" fillId="0" borderId="37" xfId="1" applyNumberFormat="1" applyFont="1" applyBorder="1" applyAlignment="1">
      <alignment horizontal="center" vertical="center"/>
    </xf>
    <xf numFmtId="165" fontId="1" fillId="17" borderId="52" xfId="1" applyNumberFormat="1" applyFont="1" applyFill="1" applyBorder="1" applyAlignment="1">
      <alignment horizontal="center" vertical="center"/>
    </xf>
    <xf numFmtId="165" fontId="1" fillId="17" borderId="39" xfId="1" applyNumberFormat="1" applyFont="1" applyFill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1" fillId="18" borderId="29" xfId="1" applyNumberFormat="1" applyFont="1" applyFill="1" applyBorder="1" applyAlignment="1">
      <alignment horizontal="center" vertical="center"/>
    </xf>
    <xf numFmtId="165" fontId="1" fillId="18" borderId="40" xfId="1" applyNumberFormat="1" applyFont="1" applyFill="1" applyBorder="1" applyAlignment="1">
      <alignment horizontal="center" vertical="center"/>
    </xf>
    <xf numFmtId="165" fontId="1" fillId="18" borderId="45" xfId="1" applyNumberFormat="1" applyFont="1" applyFill="1" applyBorder="1" applyAlignment="1">
      <alignment horizontal="center" vertical="center"/>
    </xf>
    <xf numFmtId="165" fontId="0" fillId="18" borderId="29" xfId="1" applyNumberFormat="1" applyFont="1" applyFill="1" applyBorder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49" fontId="23" fillId="0" borderId="0" xfId="0" applyNumberFormat="1" applyFont="1" applyAlignment="1">
      <alignment horizontal="left" vertical="center" indent="1"/>
    </xf>
    <xf numFmtId="0" fontId="7" fillId="0" borderId="1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165" fontId="0" fillId="19" borderId="44" xfId="1" applyNumberFormat="1" applyFont="1" applyFill="1" applyBorder="1" applyAlignment="1">
      <alignment horizontal="center" vertical="center"/>
    </xf>
    <xf numFmtId="0" fontId="1" fillId="0" borderId="14" xfId="0" applyFont="1" applyBorder="1"/>
    <xf numFmtId="49" fontId="7" fillId="0" borderId="14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4" fillId="0" borderId="0" xfId="0" applyNumberFormat="1" applyFont="1" applyAlignment="1">
      <alignment horizontal="left" vertical="center" indent="1"/>
    </xf>
    <xf numFmtId="44" fontId="0" fillId="0" borderId="0" xfId="5" applyFont="1"/>
    <xf numFmtId="44" fontId="0" fillId="0" borderId="0" xfId="0" applyNumberFormat="1"/>
    <xf numFmtId="0" fontId="0" fillId="0" borderId="36" xfId="0" applyBorder="1"/>
    <xf numFmtId="44" fontId="0" fillId="0" borderId="36" xfId="5" applyFont="1" applyBorder="1"/>
    <xf numFmtId="44" fontId="0" fillId="0" borderId="36" xfId="0" applyNumberFormat="1" applyBorder="1"/>
    <xf numFmtId="10" fontId="0" fillId="0" borderId="0" xfId="4" applyNumberFormat="1" applyFont="1"/>
    <xf numFmtId="10" fontId="0" fillId="0" borderId="0" xfId="4" applyNumberFormat="1" applyFont="1" applyBorder="1"/>
    <xf numFmtId="0" fontId="0" fillId="20" borderId="0" xfId="0" applyFill="1"/>
    <xf numFmtId="44" fontId="0" fillId="20" borderId="0" xfId="5" applyFont="1" applyFill="1"/>
    <xf numFmtId="44" fontId="0" fillId="20" borderId="0" xfId="0" applyNumberFormat="1" applyFill="1"/>
    <xf numFmtId="44" fontId="0" fillId="20" borderId="36" xfId="5" applyFont="1" applyFill="1" applyBorder="1"/>
    <xf numFmtId="44" fontId="0" fillId="20" borderId="36" xfId="0" applyNumberFormat="1" applyFill="1" applyBorder="1"/>
    <xf numFmtId="0" fontId="0" fillId="21" borderId="0" xfId="0" applyFill="1"/>
    <xf numFmtId="44" fontId="0" fillId="21" borderId="0" xfId="5" applyFont="1" applyFill="1"/>
    <xf numFmtId="10" fontId="0" fillId="21" borderId="0" xfId="4" applyNumberFormat="1" applyFont="1" applyFill="1"/>
    <xf numFmtId="44" fontId="0" fillId="21" borderId="0" xfId="0" applyNumberFormat="1" applyFill="1"/>
    <xf numFmtId="44" fontId="0" fillId="21" borderId="36" xfId="0" applyNumberFormat="1" applyFill="1" applyBorder="1"/>
    <xf numFmtId="44" fontId="0" fillId="21" borderId="36" xfId="5" applyFont="1" applyFill="1" applyBorder="1"/>
    <xf numFmtId="10" fontId="0" fillId="21" borderId="36" xfId="4" applyNumberFormat="1" applyFont="1" applyFill="1" applyBorder="1"/>
    <xf numFmtId="0" fontId="3" fillId="0" borderId="15" xfId="0" applyFont="1" applyBorder="1" applyAlignment="1">
      <alignment horizontal="center" vertical="center" textRotation="90" wrapText="1"/>
    </xf>
    <xf numFmtId="0" fontId="3" fillId="0" borderId="14" xfId="0" applyFont="1" applyBorder="1" applyAlignment="1">
      <alignment horizontal="center" vertical="center" textRotation="90"/>
    </xf>
    <xf numFmtId="0" fontId="3" fillId="0" borderId="16" xfId="0" applyFont="1" applyBorder="1" applyAlignment="1">
      <alignment horizontal="center" vertical="center" textRotation="90"/>
    </xf>
    <xf numFmtId="3" fontId="7" fillId="0" borderId="15" xfId="0" applyNumberFormat="1" applyFont="1" applyBorder="1" applyAlignment="1">
      <alignment horizontal="center" vertical="center"/>
    </xf>
    <xf numFmtId="3" fontId="7" fillId="0" borderId="16" xfId="0" applyNumberFormat="1" applyFont="1" applyBorder="1" applyAlignment="1">
      <alignment horizontal="center" vertical="center"/>
    </xf>
    <xf numFmtId="9" fontId="7" fillId="0" borderId="4" xfId="4" applyFont="1" applyBorder="1" applyAlignment="1">
      <alignment horizontal="center" vertical="center"/>
    </xf>
    <xf numFmtId="3" fontId="7" fillId="0" borderId="10" xfId="0" applyNumberFormat="1" applyFont="1" applyBorder="1" applyAlignment="1">
      <alignment horizontal="center" vertical="center"/>
    </xf>
    <xf numFmtId="3" fontId="7" fillId="0" borderId="7" xfId="0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 vertical="center"/>
    </xf>
    <xf numFmtId="164" fontId="7" fillId="0" borderId="17" xfId="4" applyNumberFormat="1" applyFont="1" applyBorder="1" applyAlignment="1">
      <alignment horizontal="center" vertical="center"/>
    </xf>
    <xf numFmtId="164" fontId="7" fillId="0" borderId="18" xfId="4" applyNumberFormat="1" applyFont="1" applyBorder="1" applyAlignment="1">
      <alignment horizontal="center" vertical="center"/>
    </xf>
    <xf numFmtId="164" fontId="7" fillId="0" borderId="1" xfId="4" applyNumberFormat="1" applyFont="1" applyBorder="1" applyAlignment="1">
      <alignment horizontal="center" vertical="center"/>
    </xf>
    <xf numFmtId="3" fontId="7" fillId="0" borderId="32" xfId="0" applyNumberFormat="1" applyFont="1" applyBorder="1" applyAlignment="1">
      <alignment horizontal="center" vertical="center"/>
    </xf>
    <xf numFmtId="3" fontId="7" fillId="0" borderId="29" xfId="0" applyNumberFormat="1" applyFont="1" applyBorder="1" applyAlignment="1">
      <alignment horizontal="center" vertical="center"/>
    </xf>
    <xf numFmtId="3" fontId="7" fillId="0" borderId="21" xfId="0" applyNumberFormat="1" applyFont="1" applyBorder="1" applyAlignment="1">
      <alignment horizontal="center" vertical="center"/>
    </xf>
    <xf numFmtId="9" fontId="7" fillId="0" borderId="6" xfId="4" applyFont="1" applyBorder="1" applyAlignment="1">
      <alignment horizontal="center" vertical="center"/>
    </xf>
    <xf numFmtId="3" fontId="7" fillId="0" borderId="25" xfId="0" applyNumberFormat="1" applyFont="1" applyBorder="1" applyAlignment="1">
      <alignment horizontal="center" vertical="center"/>
    </xf>
    <xf numFmtId="3" fontId="7" fillId="0" borderId="33" xfId="0" applyNumberFormat="1" applyFont="1" applyBorder="1" applyAlignment="1">
      <alignment horizontal="center" vertical="center"/>
    </xf>
    <xf numFmtId="3" fontId="7" fillId="0" borderId="26" xfId="0" applyNumberFormat="1" applyFont="1" applyBorder="1" applyAlignment="1">
      <alignment horizontal="center" vertical="center"/>
    </xf>
    <xf numFmtId="3" fontId="7" fillId="0" borderId="8" xfId="1" applyNumberFormat="1" applyFont="1" applyFill="1" applyBorder="1" applyAlignment="1">
      <alignment horizontal="center" vertical="center"/>
    </xf>
    <xf numFmtId="3" fontId="7" fillId="0" borderId="7" xfId="1" applyNumberFormat="1" applyFont="1" applyFill="1" applyBorder="1" applyAlignment="1">
      <alignment horizontal="center" vertical="center"/>
    </xf>
    <xf numFmtId="3" fontId="7" fillId="0" borderId="9" xfId="1" applyNumberFormat="1" applyFont="1" applyFill="1" applyBorder="1" applyAlignment="1">
      <alignment horizontal="center" vertical="center"/>
    </xf>
    <xf numFmtId="164" fontId="7" fillId="0" borderId="3" xfId="4" applyNumberFormat="1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textRotation="90"/>
    </xf>
    <xf numFmtId="9" fontId="7" fillId="0" borderId="5" xfId="4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49" fontId="7" fillId="0" borderId="51" xfId="0" applyNumberFormat="1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49" fontId="7" fillId="0" borderId="41" xfId="0" applyNumberFormat="1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49" fontId="13" fillId="0" borderId="22" xfId="0" applyNumberFormat="1" applyFont="1" applyBorder="1" applyAlignment="1">
      <alignment horizontal="center" vertical="center" wrapText="1"/>
    </xf>
    <xf numFmtId="49" fontId="13" fillId="0" borderId="23" xfId="0" applyNumberFormat="1" applyFont="1" applyBorder="1" applyAlignment="1">
      <alignment horizontal="center" vertical="center" wrapText="1"/>
    </xf>
    <xf numFmtId="49" fontId="13" fillId="0" borderId="24" xfId="0" applyNumberFormat="1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49" fontId="7" fillId="0" borderId="31" xfId="0" applyNumberFormat="1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44" fontId="0" fillId="22" borderId="0" xfId="5" applyFont="1" applyFill="1"/>
    <xf numFmtId="44" fontId="0" fillId="22" borderId="0" xfId="0" applyNumberFormat="1" applyFill="1"/>
    <xf numFmtId="44" fontId="0" fillId="22" borderId="36" xfId="0" applyNumberFormat="1" applyFill="1" applyBorder="1"/>
  </cellXfs>
  <cellStyles count="6">
    <cellStyle name="Comma" xfId="1" builtinId="3"/>
    <cellStyle name="Currency" xfId="5" builtinId="4"/>
    <cellStyle name="Normal" xfId="0" builtinId="0"/>
    <cellStyle name="Normal 2" xfId="3" xr:uid="{00000000-0005-0000-0000-000002000000}"/>
    <cellStyle name="Percent" xfId="4" builtinId="5"/>
    <cellStyle name="Percent 2" xfId="2" xr:uid="{00000000-0005-0000-0000-000003000000}"/>
  </cellStyles>
  <dxfs count="0"/>
  <tableStyles count="0" defaultTableStyle="TableStyleMedium9" defaultPivotStyle="PivotStyleLight16"/>
  <colors>
    <mruColors>
      <color rgb="FFFFFFCC"/>
      <color rgb="FFE20000"/>
      <color rgb="FFFFFBEF"/>
      <color rgb="FFFFABAB"/>
      <color rgb="FFE8FE98"/>
      <color rgb="FFDBFD5D"/>
      <color rgb="FFA9D08E"/>
      <color rgb="FFA6D86E"/>
      <color rgb="FFFF8761"/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205912</xdr:colOff>
      <xdr:row>4</xdr:row>
      <xdr:rowOff>13224</xdr:rowOff>
    </xdr:from>
    <xdr:to>
      <xdr:col>6</xdr:col>
      <xdr:colOff>626745</xdr:colOff>
      <xdr:row>4</xdr:row>
      <xdr:rowOff>436933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A12C500-DFE8-D0EE-6709-DD536951B8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8012" y="1565799"/>
          <a:ext cx="1487633" cy="43513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40270-685E-4A56-8B31-FFBBC287A8F2}">
  <sheetPr>
    <pageSetUpPr fitToPage="1"/>
  </sheetPr>
  <dimension ref="B2:AR31"/>
  <sheetViews>
    <sheetView topLeftCell="A9" zoomScale="55" zoomScaleNormal="55" workbookViewId="0">
      <selection activeCell="W30" sqref="W30"/>
    </sheetView>
  </sheetViews>
  <sheetFormatPr defaultColWidth="9.140625" defaultRowHeight="18" x14ac:dyDescent="0.2"/>
  <cols>
    <col min="1" max="2" width="9.140625" style="1" customWidth="1"/>
    <col min="3" max="3" width="11.5703125" style="1" customWidth="1"/>
    <col min="4" max="4" width="36.42578125" style="2" customWidth="1"/>
    <col min="5" max="5" width="12.140625" style="2" customWidth="1"/>
    <col min="6" max="6" width="15.5703125" style="2" customWidth="1"/>
    <col min="7" max="7" width="12.140625" style="2" customWidth="1"/>
    <col min="8" max="8" width="25.7109375" style="1" customWidth="1"/>
    <col min="9" max="10" width="12" style="1" customWidth="1"/>
    <col min="11" max="11" width="3.7109375" style="1" customWidth="1"/>
    <col min="12" max="13" width="12.7109375" style="1" customWidth="1"/>
    <col min="14" max="14" width="16.140625" style="1" customWidth="1"/>
    <col min="15" max="21" width="12.7109375" style="1" customWidth="1"/>
    <col min="22" max="22" width="3.7109375" style="1" customWidth="1"/>
    <col min="23" max="24" width="14.140625" style="1" customWidth="1"/>
    <col min="25" max="25" width="3.7109375" style="1" customWidth="1"/>
    <col min="26" max="26" width="15.5703125" style="1" customWidth="1"/>
    <col min="27" max="27" width="14.85546875" style="1" customWidth="1"/>
    <col min="28" max="28" width="14" style="1" customWidth="1"/>
    <col min="29" max="29" width="3.7109375" style="17" customWidth="1"/>
    <col min="30" max="30" width="14.7109375" customWidth="1"/>
    <col min="31" max="32" width="14.7109375" style="1" customWidth="1"/>
    <col min="33" max="33" width="3.7109375" style="1" customWidth="1"/>
    <col min="34" max="36" width="14.7109375" style="1" customWidth="1"/>
    <col min="37" max="37" width="10.7109375" style="1" customWidth="1"/>
    <col min="38" max="16384" width="9.140625" style="1"/>
  </cols>
  <sheetData>
    <row r="2" spans="2:44" ht="20.100000000000001" customHeight="1" x14ac:dyDescent="0.2">
      <c r="D2" s="9"/>
      <c r="E2" s="9"/>
      <c r="F2" s="9"/>
      <c r="G2" s="9"/>
    </row>
    <row r="3" spans="2:44" s="4" customFormat="1" ht="49.7" customHeight="1" x14ac:dyDescent="0.2">
      <c r="F3" s="118" t="s">
        <v>64</v>
      </c>
      <c r="AC3" s="121"/>
    </row>
    <row r="4" spans="2:44" s="4" customFormat="1" ht="36" customHeight="1" x14ac:dyDescent="0.2">
      <c r="F4" s="246" t="s">
        <v>57</v>
      </c>
      <c r="H4" s="254" t="s">
        <v>26</v>
      </c>
      <c r="AC4" s="121"/>
    </row>
    <row r="5" spans="2:44" s="4" customFormat="1" ht="36" customHeight="1" x14ac:dyDescent="0.2">
      <c r="H5" s="254" t="s">
        <v>73</v>
      </c>
      <c r="AC5" s="121"/>
    </row>
    <row r="6" spans="2:44" s="4" customFormat="1" ht="36" customHeight="1" x14ac:dyDescent="0.2">
      <c r="AC6" s="121"/>
    </row>
    <row r="7" spans="2:44" ht="20.25" x14ac:dyDescent="0.3">
      <c r="P7" s="76"/>
      <c r="V7" s="114"/>
      <c r="AF7" s="114"/>
    </row>
    <row r="8" spans="2:44" s="74" customFormat="1" ht="28.5" thickBot="1" x14ac:dyDescent="0.45">
      <c r="B8" s="1"/>
      <c r="C8" s="1"/>
      <c r="D8" s="119"/>
      <c r="E8" s="2"/>
      <c r="F8" s="2"/>
      <c r="G8" s="2"/>
      <c r="H8" s="1"/>
      <c r="I8" s="1"/>
      <c r="J8" s="1"/>
      <c r="K8" s="1"/>
      <c r="L8" s="1"/>
      <c r="M8" s="1"/>
      <c r="N8" s="1"/>
      <c r="O8" s="1"/>
      <c r="R8" s="1"/>
      <c r="S8" s="1"/>
      <c r="T8" s="1"/>
      <c r="U8" s="1"/>
      <c r="V8" s="1"/>
      <c r="W8" s="1"/>
      <c r="X8" s="1"/>
      <c r="Y8" s="1"/>
      <c r="Z8" s="68"/>
      <c r="AA8" s="1"/>
      <c r="AB8" s="1"/>
      <c r="AC8" s="17"/>
      <c r="AD8"/>
    </row>
    <row r="9" spans="2:44" ht="66.599999999999994" customHeight="1" thickBot="1" x14ac:dyDescent="0.25">
      <c r="C9" s="182"/>
      <c r="D9" s="182"/>
      <c r="E9" s="182"/>
      <c r="F9" s="311" t="s">
        <v>71</v>
      </c>
      <c r="G9" s="312"/>
      <c r="H9" s="312"/>
      <c r="I9" s="312"/>
      <c r="J9" s="312"/>
      <c r="K9" s="312"/>
      <c r="L9" s="312"/>
      <c r="M9" s="312"/>
      <c r="N9" s="312"/>
      <c r="O9" s="312"/>
      <c r="P9" s="312"/>
      <c r="Q9" s="312"/>
      <c r="R9" s="312"/>
      <c r="S9" s="312"/>
      <c r="T9" s="312"/>
      <c r="U9" s="312"/>
      <c r="V9" s="312"/>
      <c r="W9" s="312"/>
      <c r="X9" s="312"/>
      <c r="Y9" s="312"/>
      <c r="Z9" s="312"/>
      <c r="AA9" s="312"/>
      <c r="AB9" s="313"/>
      <c r="AD9" s="314" t="s">
        <v>60</v>
      </c>
      <c r="AE9" s="315"/>
      <c r="AF9" s="315"/>
      <c r="AG9" s="315"/>
      <c r="AH9" s="315"/>
      <c r="AI9" s="315"/>
      <c r="AJ9" s="316"/>
    </row>
    <row r="10" spans="2:44" ht="14.45" customHeight="1" thickBot="1" x14ac:dyDescent="0.25">
      <c r="F10" s="317"/>
      <c r="G10" s="317"/>
      <c r="H10" s="317"/>
      <c r="I10" s="317"/>
      <c r="J10" s="317"/>
      <c r="K10" s="317"/>
      <c r="L10" s="317"/>
      <c r="M10" s="317"/>
      <c r="N10" s="317"/>
      <c r="O10" s="317"/>
      <c r="P10" s="317"/>
      <c r="Q10" s="317"/>
      <c r="R10" s="317"/>
      <c r="S10" s="317"/>
      <c r="T10" s="317"/>
      <c r="U10" s="317"/>
      <c r="V10" s="317"/>
      <c r="W10" s="317"/>
      <c r="X10" s="317"/>
      <c r="Y10" s="317"/>
      <c r="Z10" s="317"/>
      <c r="AA10" s="317"/>
      <c r="AB10" s="317"/>
    </row>
    <row r="11" spans="2:44" ht="57.6" customHeight="1" thickBot="1" x14ac:dyDescent="0.25">
      <c r="B11" s="3"/>
      <c r="C11" s="196"/>
      <c r="D11" s="196"/>
      <c r="E11" s="196"/>
      <c r="F11" s="318" t="s">
        <v>14</v>
      </c>
      <c r="G11" s="319"/>
      <c r="H11" s="319"/>
      <c r="I11" s="319"/>
      <c r="J11" s="320"/>
      <c r="K11" s="16"/>
      <c r="L11" s="303" t="s">
        <v>19</v>
      </c>
      <c r="M11" s="304"/>
      <c r="N11" s="247">
        <v>2</v>
      </c>
      <c r="O11" s="247">
        <v>3</v>
      </c>
      <c r="P11" s="247">
        <v>4</v>
      </c>
      <c r="Q11" s="247">
        <v>5</v>
      </c>
      <c r="R11" s="247">
        <v>6</v>
      </c>
      <c r="S11" s="247">
        <v>7</v>
      </c>
      <c r="T11" s="248">
        <v>8</v>
      </c>
      <c r="U11" s="249" t="s">
        <v>7</v>
      </c>
      <c r="V11" s="252"/>
      <c r="W11" s="303" t="s">
        <v>12</v>
      </c>
      <c r="X11" s="304"/>
      <c r="Y11" s="18"/>
      <c r="Z11" s="305" t="s">
        <v>30</v>
      </c>
      <c r="AA11" s="306"/>
      <c r="AB11" s="307"/>
      <c r="AD11" s="177" t="s">
        <v>62</v>
      </c>
      <c r="AE11" s="303" t="s">
        <v>74</v>
      </c>
      <c r="AF11" s="304"/>
      <c r="AG11" s="251"/>
      <c r="AH11" s="321" t="s">
        <v>30</v>
      </c>
      <c r="AI11" s="322"/>
      <c r="AJ11" s="323"/>
      <c r="AK11" s="181"/>
    </row>
    <row r="12" spans="2:44" ht="75" customHeight="1" thickBot="1" x14ac:dyDescent="0.25">
      <c r="B12" s="3"/>
      <c r="C12" s="181"/>
      <c r="D12" s="181"/>
      <c r="E12" s="186"/>
      <c r="F12" s="173" t="s">
        <v>59</v>
      </c>
      <c r="G12" s="299" t="s">
        <v>13</v>
      </c>
      <c r="H12" s="300"/>
      <c r="I12" s="197" t="s">
        <v>15</v>
      </c>
      <c r="J12" s="198" t="s">
        <v>16</v>
      </c>
      <c r="K12" s="16"/>
      <c r="L12" s="144" t="s">
        <v>28</v>
      </c>
      <c r="M12" s="143" t="s">
        <v>29</v>
      </c>
      <c r="N12" s="144" t="s">
        <v>6</v>
      </c>
      <c r="O12" s="144" t="s">
        <v>6</v>
      </c>
      <c r="P12" s="144" t="s">
        <v>6</v>
      </c>
      <c r="Q12" s="144" t="s">
        <v>6</v>
      </c>
      <c r="R12" s="144" t="s">
        <v>6</v>
      </c>
      <c r="S12" s="144" t="s">
        <v>6</v>
      </c>
      <c r="T12" s="144" t="s">
        <v>6</v>
      </c>
      <c r="U12" s="144" t="s">
        <v>6</v>
      </c>
      <c r="V12" s="253"/>
      <c r="W12" s="301" t="s">
        <v>6</v>
      </c>
      <c r="X12" s="302"/>
      <c r="Y12" s="116"/>
      <c r="Z12" s="308"/>
      <c r="AA12" s="309"/>
      <c r="AB12" s="310"/>
      <c r="AD12" s="144" t="s">
        <v>6</v>
      </c>
      <c r="AE12" s="301" t="s">
        <v>6</v>
      </c>
      <c r="AF12" s="302"/>
      <c r="AG12" s="251"/>
      <c r="AH12" s="175" t="s">
        <v>61</v>
      </c>
      <c r="AI12" s="176" t="s">
        <v>66</v>
      </c>
      <c r="AJ12" s="203" t="s">
        <v>67</v>
      </c>
      <c r="AK12" s="181"/>
    </row>
    <row r="13" spans="2:44" ht="40.15" customHeight="1" thickBot="1" x14ac:dyDescent="0.25">
      <c r="B13" s="3"/>
      <c r="C13" s="11"/>
      <c r="D13" s="11"/>
      <c r="E13" s="11"/>
      <c r="F13" s="11"/>
      <c r="G13" s="11"/>
      <c r="H13" s="75"/>
      <c r="I13" s="75"/>
      <c r="J13" s="75"/>
      <c r="K13" s="13"/>
      <c r="L13" s="30"/>
      <c r="M13" s="12"/>
      <c r="N13" s="12"/>
      <c r="O13" s="12"/>
      <c r="P13" s="12"/>
      <c r="Q13" s="12"/>
      <c r="R13" s="12"/>
      <c r="S13" s="30"/>
      <c r="T13" s="12"/>
      <c r="U13" s="12"/>
      <c r="V13" s="12"/>
      <c r="W13" s="12"/>
      <c r="X13" s="12"/>
      <c r="Y13" s="13"/>
      <c r="Z13" s="13"/>
      <c r="AA13" s="13"/>
      <c r="AB13" s="13"/>
      <c r="AD13" s="12"/>
      <c r="AE13" s="12"/>
      <c r="AF13" s="12"/>
      <c r="AH13" s="13"/>
      <c r="AI13" s="13"/>
      <c r="AJ13" s="13"/>
      <c r="AK13" s="13"/>
    </row>
    <row r="14" spans="2:44" ht="54.6" customHeight="1" thickBot="1" x14ac:dyDescent="0.25">
      <c r="B14" s="187"/>
      <c r="C14" s="172"/>
      <c r="D14" s="188"/>
      <c r="E14" s="189"/>
      <c r="F14" s="59" t="s">
        <v>22</v>
      </c>
      <c r="G14" s="39">
        <v>1</v>
      </c>
      <c r="H14" s="40" t="s">
        <v>25</v>
      </c>
      <c r="I14" s="41">
        <v>900</v>
      </c>
      <c r="J14" s="42">
        <v>820</v>
      </c>
      <c r="K14" s="28"/>
      <c r="L14" s="77"/>
      <c r="M14" s="78"/>
      <c r="N14" s="77"/>
      <c r="O14" s="80">
        <v>140</v>
      </c>
      <c r="P14" s="80">
        <v>135</v>
      </c>
      <c r="Q14" s="80">
        <v>0</v>
      </c>
      <c r="R14" s="137"/>
      <c r="S14" s="79"/>
      <c r="T14" s="79"/>
      <c r="U14" s="137"/>
      <c r="V14" s="185"/>
      <c r="W14" s="81">
        <f t="shared" ref="W14:W26" si="0">L14+M14+N14+O14+P14+Q14+R14+S14+T14+U14</f>
        <v>275</v>
      </c>
      <c r="X14" s="82">
        <f>W14</f>
        <v>275</v>
      </c>
      <c r="Y14" s="115"/>
      <c r="Z14" s="120">
        <f>X14/$W$27</f>
        <v>0.11642675698560542</v>
      </c>
      <c r="AA14" s="293">
        <f>SUM(W14:W17)</f>
        <v>1046</v>
      </c>
      <c r="AB14" s="296">
        <f>AA14/W27</f>
        <v>0.44284504657070278</v>
      </c>
      <c r="AD14" s="138"/>
      <c r="AE14" s="81">
        <f t="shared" ref="AE14:AE26" si="1">AD14+W14</f>
        <v>275</v>
      </c>
      <c r="AF14" s="82">
        <f>AE14</f>
        <v>275</v>
      </c>
      <c r="AH14" s="120">
        <f>AF14/$AE$27</f>
        <v>0.10181414291003332</v>
      </c>
      <c r="AI14" s="293">
        <f>SUM(AE14:AE17)</f>
        <v>1184</v>
      </c>
      <c r="AJ14" s="296">
        <f>AI14/$AE$27</f>
        <v>0.43835616438356162</v>
      </c>
      <c r="AK14" s="195"/>
      <c r="AQ14" s="204"/>
      <c r="AR14" s="205"/>
    </row>
    <row r="15" spans="2:44" ht="40.15" customHeight="1" x14ac:dyDescent="0.2">
      <c r="B15" s="194"/>
      <c r="C15" s="172"/>
      <c r="D15" s="188"/>
      <c r="E15" s="189"/>
      <c r="F15" s="297" t="s">
        <v>20</v>
      </c>
      <c r="G15" s="7">
        <v>2</v>
      </c>
      <c r="H15" s="43" t="s">
        <v>72</v>
      </c>
      <c r="I15" s="19">
        <v>1125</v>
      </c>
      <c r="J15" s="20">
        <v>1600</v>
      </c>
      <c r="K15" s="28"/>
      <c r="L15" s="83">
        <v>0</v>
      </c>
      <c r="M15" s="84">
        <v>0</v>
      </c>
      <c r="N15" s="83">
        <v>19</v>
      </c>
      <c r="O15" s="83">
        <v>44</v>
      </c>
      <c r="P15" s="83">
        <v>23</v>
      </c>
      <c r="Q15" s="83">
        <v>38</v>
      </c>
      <c r="R15" s="123">
        <v>48</v>
      </c>
      <c r="S15" s="83">
        <v>31</v>
      </c>
      <c r="T15" s="83">
        <v>88</v>
      </c>
      <c r="U15" s="123">
        <v>100</v>
      </c>
      <c r="V15" s="178"/>
      <c r="W15" s="123">
        <f t="shared" si="0"/>
        <v>391</v>
      </c>
      <c r="X15" s="290">
        <f>SUM(W15:W17)</f>
        <v>771</v>
      </c>
      <c r="Y15" s="115"/>
      <c r="Z15" s="279">
        <f>(SUM(W15:W17))/$W$27</f>
        <v>0.32641828958509739</v>
      </c>
      <c r="AA15" s="294"/>
      <c r="AB15" s="284"/>
      <c r="AD15" s="123">
        <v>104</v>
      </c>
      <c r="AE15" s="123">
        <f t="shared" si="1"/>
        <v>495</v>
      </c>
      <c r="AF15" s="290">
        <f>SUM(AE15:AE17)</f>
        <v>909</v>
      </c>
      <c r="AH15" s="279">
        <f>(SUM(AE15:AE17))/$AE$27</f>
        <v>0.3365420214735283</v>
      </c>
      <c r="AI15" s="294"/>
      <c r="AJ15" s="284"/>
      <c r="AK15" s="195"/>
    </row>
    <row r="16" spans="2:44" ht="40.15" customHeight="1" x14ac:dyDescent="0.2">
      <c r="B16" s="194"/>
      <c r="C16" s="172"/>
      <c r="D16" s="188"/>
      <c r="E16" s="189"/>
      <c r="F16" s="275"/>
      <c r="G16" s="37">
        <v>3</v>
      </c>
      <c r="H16" s="31" t="s">
        <v>9</v>
      </c>
      <c r="I16" s="32" t="s">
        <v>17</v>
      </c>
      <c r="J16" s="32" t="s">
        <v>18</v>
      </c>
      <c r="K16" s="28"/>
      <c r="L16" s="85">
        <v>2</v>
      </c>
      <c r="M16" s="86">
        <v>20</v>
      </c>
      <c r="N16" s="85">
        <v>32</v>
      </c>
      <c r="O16" s="85">
        <v>14</v>
      </c>
      <c r="P16" s="85">
        <v>6</v>
      </c>
      <c r="Q16" s="85">
        <v>0</v>
      </c>
      <c r="R16" s="124">
        <v>0</v>
      </c>
      <c r="S16" s="85">
        <v>44</v>
      </c>
      <c r="T16" s="85">
        <v>10</v>
      </c>
      <c r="U16" s="124">
        <v>16</v>
      </c>
      <c r="V16" s="178"/>
      <c r="W16" s="124">
        <f t="shared" si="0"/>
        <v>144</v>
      </c>
      <c r="X16" s="291"/>
      <c r="Y16" s="115"/>
      <c r="Z16" s="279"/>
      <c r="AA16" s="294"/>
      <c r="AB16" s="284"/>
      <c r="AD16" s="124">
        <v>13</v>
      </c>
      <c r="AE16" s="124">
        <f t="shared" si="1"/>
        <v>157</v>
      </c>
      <c r="AF16" s="291"/>
      <c r="AH16" s="279"/>
      <c r="AI16" s="294"/>
      <c r="AJ16" s="284"/>
      <c r="AK16" s="195"/>
    </row>
    <row r="17" spans="2:37" ht="40.15" customHeight="1" thickBot="1" x14ac:dyDescent="0.25">
      <c r="B17" s="194"/>
      <c r="C17" s="190"/>
      <c r="D17" s="188"/>
      <c r="E17" s="189"/>
      <c r="F17" s="275"/>
      <c r="G17" s="14">
        <v>4</v>
      </c>
      <c r="H17" s="44" t="s">
        <v>8</v>
      </c>
      <c r="I17" s="45">
        <v>1375</v>
      </c>
      <c r="J17" s="46">
        <v>1800</v>
      </c>
      <c r="K17" s="29"/>
      <c r="L17" s="87">
        <v>5</v>
      </c>
      <c r="M17" s="88">
        <v>69</v>
      </c>
      <c r="N17" s="87">
        <v>4</v>
      </c>
      <c r="O17" s="87">
        <v>28</v>
      </c>
      <c r="P17" s="87">
        <v>28</v>
      </c>
      <c r="Q17" s="87">
        <v>10</v>
      </c>
      <c r="R17" s="125">
        <v>21</v>
      </c>
      <c r="S17" s="87">
        <v>35</v>
      </c>
      <c r="T17" s="87">
        <v>32</v>
      </c>
      <c r="U17" s="125">
        <v>4</v>
      </c>
      <c r="V17" s="178"/>
      <c r="W17" s="125">
        <f t="shared" si="0"/>
        <v>236</v>
      </c>
      <c r="X17" s="292"/>
      <c r="Y17" s="115"/>
      <c r="Z17" s="298"/>
      <c r="AA17" s="295"/>
      <c r="AB17" s="285"/>
      <c r="AD17" s="125">
        <v>21</v>
      </c>
      <c r="AE17" s="125">
        <f t="shared" si="1"/>
        <v>257</v>
      </c>
      <c r="AF17" s="292"/>
      <c r="AH17" s="298"/>
      <c r="AI17" s="295"/>
      <c r="AJ17" s="285"/>
      <c r="AK17" s="195"/>
    </row>
    <row r="18" spans="2:37" ht="40.15" customHeight="1" x14ac:dyDescent="0.2">
      <c r="B18" s="194"/>
      <c r="C18" s="172"/>
      <c r="D18" s="188"/>
      <c r="E18" s="189"/>
      <c r="F18" s="275"/>
      <c r="G18" s="47">
        <v>5</v>
      </c>
      <c r="H18" s="48" t="s">
        <v>5</v>
      </c>
      <c r="I18" s="49">
        <v>1600</v>
      </c>
      <c r="J18" s="50">
        <v>3275</v>
      </c>
      <c r="K18" s="29"/>
      <c r="L18" s="89">
        <v>2</v>
      </c>
      <c r="M18" s="90">
        <v>37</v>
      </c>
      <c r="N18" s="89">
        <v>23</v>
      </c>
      <c r="O18" s="89">
        <v>5</v>
      </c>
      <c r="P18" s="89">
        <v>23</v>
      </c>
      <c r="Q18" s="89">
        <v>24</v>
      </c>
      <c r="R18" s="126">
        <v>26</v>
      </c>
      <c r="S18" s="170">
        <v>45</v>
      </c>
      <c r="T18" s="91">
        <v>76</v>
      </c>
      <c r="U18" s="126">
        <v>32</v>
      </c>
      <c r="V18" s="178"/>
      <c r="W18" s="126">
        <f t="shared" si="0"/>
        <v>293</v>
      </c>
      <c r="X18" s="290">
        <f>SUM(W18:W20)</f>
        <v>727</v>
      </c>
      <c r="Y18" s="115"/>
      <c r="Z18" s="289">
        <f>(SUM(W18:W20))/$W$27</f>
        <v>0.30779000846740051</v>
      </c>
      <c r="AA18" s="280">
        <f>SUM(X18:X26)</f>
        <v>1316</v>
      </c>
      <c r="AB18" s="283">
        <f>SUM(AA18)/W27</f>
        <v>0.55715495342929722</v>
      </c>
      <c r="AD18" s="126">
        <v>84</v>
      </c>
      <c r="AE18" s="126">
        <f t="shared" si="1"/>
        <v>377</v>
      </c>
      <c r="AF18" s="290">
        <f>SUM(AE18:AE20)</f>
        <v>881</v>
      </c>
      <c r="AH18" s="289">
        <f>(SUM(AE18:AE20))/$AE$27</f>
        <v>0.32617549055905221</v>
      </c>
      <c r="AI18" s="280">
        <f>SUM(AF18:AF26)</f>
        <v>1517</v>
      </c>
      <c r="AJ18" s="283">
        <f>SUM(AI18)/$AE$27</f>
        <v>0.56164383561643838</v>
      </c>
      <c r="AK18" s="195"/>
    </row>
    <row r="19" spans="2:37" ht="40.15" customHeight="1" x14ac:dyDescent="0.2">
      <c r="B19" s="194"/>
      <c r="C19" s="172"/>
      <c r="D19" s="188"/>
      <c r="E19" s="189"/>
      <c r="F19" s="275"/>
      <c r="G19" s="38">
        <v>6</v>
      </c>
      <c r="H19" s="33" t="s">
        <v>0</v>
      </c>
      <c r="I19" s="34">
        <v>1750</v>
      </c>
      <c r="J19" s="35">
        <f>40*90</f>
        <v>3600</v>
      </c>
      <c r="K19" s="29"/>
      <c r="L19" s="92">
        <v>2</v>
      </c>
      <c r="M19" s="93">
        <v>35</v>
      </c>
      <c r="N19" s="92">
        <v>17</v>
      </c>
      <c r="O19" s="92">
        <v>10</v>
      </c>
      <c r="P19" s="92">
        <v>18</v>
      </c>
      <c r="Q19" s="92">
        <v>19</v>
      </c>
      <c r="R19" s="127">
        <v>23</v>
      </c>
      <c r="S19" s="169">
        <v>22</v>
      </c>
      <c r="T19" s="94">
        <v>92</v>
      </c>
      <c r="U19" s="127">
        <v>81</v>
      </c>
      <c r="V19" s="178"/>
      <c r="W19" s="127">
        <f t="shared" si="0"/>
        <v>319</v>
      </c>
      <c r="X19" s="291"/>
      <c r="Y19" s="115"/>
      <c r="Z19" s="279"/>
      <c r="AA19" s="281"/>
      <c r="AB19" s="284"/>
      <c r="AD19" s="127">
        <v>60</v>
      </c>
      <c r="AE19" s="127">
        <f t="shared" si="1"/>
        <v>379</v>
      </c>
      <c r="AF19" s="291"/>
      <c r="AH19" s="279"/>
      <c r="AI19" s="281"/>
      <c r="AJ19" s="284"/>
      <c r="AK19" s="195"/>
    </row>
    <row r="20" spans="2:37" ht="40.15" customHeight="1" thickBot="1" x14ac:dyDescent="0.25">
      <c r="B20" s="194"/>
      <c r="C20" s="172"/>
      <c r="D20" s="191"/>
      <c r="E20" s="189"/>
      <c r="F20" s="275"/>
      <c r="G20" s="51">
        <v>7</v>
      </c>
      <c r="H20" s="52" t="s">
        <v>1</v>
      </c>
      <c r="I20" s="53">
        <v>1950</v>
      </c>
      <c r="J20" s="54">
        <f>40*100</f>
        <v>4000</v>
      </c>
      <c r="K20" s="29"/>
      <c r="L20" s="95">
        <v>2</v>
      </c>
      <c r="M20" s="96">
        <v>30</v>
      </c>
      <c r="N20" s="95">
        <v>30</v>
      </c>
      <c r="O20" s="95">
        <v>0</v>
      </c>
      <c r="P20" s="95">
        <v>0</v>
      </c>
      <c r="Q20" s="95">
        <v>2</v>
      </c>
      <c r="R20" s="128">
        <v>33</v>
      </c>
      <c r="S20" s="171">
        <v>11</v>
      </c>
      <c r="T20" s="136">
        <v>5</v>
      </c>
      <c r="U20" s="128">
        <v>2</v>
      </c>
      <c r="V20" s="178"/>
      <c r="W20" s="128">
        <f t="shared" si="0"/>
        <v>115</v>
      </c>
      <c r="X20" s="292"/>
      <c r="Y20" s="115"/>
      <c r="Z20" s="279"/>
      <c r="AA20" s="281"/>
      <c r="AB20" s="284"/>
      <c r="AD20" s="128">
        <v>10</v>
      </c>
      <c r="AE20" s="128">
        <f t="shared" si="1"/>
        <v>125</v>
      </c>
      <c r="AF20" s="292"/>
      <c r="AH20" s="279"/>
      <c r="AI20" s="281"/>
      <c r="AJ20" s="284"/>
      <c r="AK20" s="195"/>
    </row>
    <row r="21" spans="2:37" ht="40.15" customHeight="1" x14ac:dyDescent="0.2">
      <c r="B21" s="194"/>
      <c r="C21" s="172"/>
      <c r="D21" s="188"/>
      <c r="E21" s="189"/>
      <c r="F21" s="275"/>
      <c r="G21" s="5">
        <v>8</v>
      </c>
      <c r="H21" s="57" t="s">
        <v>2</v>
      </c>
      <c r="I21" s="21">
        <v>2150</v>
      </c>
      <c r="J21" s="22">
        <f>50*100</f>
        <v>5000</v>
      </c>
      <c r="K21" s="29"/>
      <c r="L21" s="98">
        <v>2</v>
      </c>
      <c r="M21" s="99">
        <v>23</v>
      </c>
      <c r="N21" s="98">
        <v>36</v>
      </c>
      <c r="O21" s="98">
        <v>27</v>
      </c>
      <c r="P21" s="98">
        <v>4</v>
      </c>
      <c r="Q21" s="98">
        <v>21</v>
      </c>
      <c r="R21" s="129">
        <v>33</v>
      </c>
      <c r="S21" s="202">
        <v>41</v>
      </c>
      <c r="T21" s="98">
        <v>16</v>
      </c>
      <c r="U21" s="129">
        <v>10</v>
      </c>
      <c r="V21" s="178"/>
      <c r="W21" s="129">
        <f t="shared" si="0"/>
        <v>213</v>
      </c>
      <c r="X21" s="286">
        <f>SUM(W21:W23)</f>
        <v>422</v>
      </c>
      <c r="Y21" s="115"/>
      <c r="Z21" s="279">
        <f>(SUM(W21:W23))/$W$27</f>
        <v>0.17866215071972905</v>
      </c>
      <c r="AA21" s="281"/>
      <c r="AB21" s="284"/>
      <c r="AD21" s="129">
        <v>21</v>
      </c>
      <c r="AE21" s="129">
        <f t="shared" si="1"/>
        <v>234</v>
      </c>
      <c r="AF21" s="286">
        <f>SUM(AE21:AE23)</f>
        <v>451</v>
      </c>
      <c r="AH21" s="279">
        <f>(SUM(AE21:AE23))/$AE$27</f>
        <v>0.16697519437245464</v>
      </c>
      <c r="AI21" s="281"/>
      <c r="AJ21" s="284"/>
      <c r="AK21" s="195"/>
    </row>
    <row r="22" spans="2:37" ht="40.15" customHeight="1" x14ac:dyDescent="0.2">
      <c r="B22" s="194"/>
      <c r="C22" s="172"/>
      <c r="D22" s="188"/>
      <c r="E22" s="189"/>
      <c r="F22" s="275"/>
      <c r="G22" s="15">
        <v>9</v>
      </c>
      <c r="H22" s="36" t="s">
        <v>3</v>
      </c>
      <c r="I22" s="23">
        <v>2450</v>
      </c>
      <c r="J22" s="24">
        <f>60*100</f>
        <v>6000</v>
      </c>
      <c r="K22" s="29"/>
      <c r="L22" s="100">
        <v>2</v>
      </c>
      <c r="M22" s="101">
        <v>24</v>
      </c>
      <c r="N22" s="100">
        <v>26</v>
      </c>
      <c r="O22" s="100">
        <v>23</v>
      </c>
      <c r="P22" s="100">
        <v>0</v>
      </c>
      <c r="Q22" s="100">
        <v>2</v>
      </c>
      <c r="R22" s="130">
        <v>14</v>
      </c>
      <c r="S22" s="100">
        <v>48</v>
      </c>
      <c r="T22" s="100">
        <v>10</v>
      </c>
      <c r="U22" s="130">
        <v>6</v>
      </c>
      <c r="V22" s="178"/>
      <c r="W22" s="130">
        <f t="shared" si="0"/>
        <v>155</v>
      </c>
      <c r="X22" s="287"/>
      <c r="Y22" s="115"/>
      <c r="Z22" s="279"/>
      <c r="AA22" s="281"/>
      <c r="AB22" s="284"/>
      <c r="AD22" s="130">
        <v>5</v>
      </c>
      <c r="AE22" s="130">
        <f t="shared" si="1"/>
        <v>160</v>
      </c>
      <c r="AF22" s="287"/>
      <c r="AH22" s="279"/>
      <c r="AI22" s="281"/>
      <c r="AJ22" s="284"/>
      <c r="AK22" s="195"/>
    </row>
    <row r="23" spans="2:37" ht="40.15" customHeight="1" thickBot="1" x14ac:dyDescent="0.25">
      <c r="B23" s="194"/>
      <c r="C23" s="172"/>
      <c r="D23" s="188"/>
      <c r="E23" s="189"/>
      <c r="F23" s="276"/>
      <c r="G23" s="62">
        <v>10</v>
      </c>
      <c r="H23" s="63" t="s">
        <v>4</v>
      </c>
      <c r="I23" s="64">
        <v>2750</v>
      </c>
      <c r="J23" s="65">
        <f>70*100</f>
        <v>7000</v>
      </c>
      <c r="K23" s="29"/>
      <c r="L23" s="102">
        <v>2</v>
      </c>
      <c r="M23" s="103">
        <v>17</v>
      </c>
      <c r="N23" s="102">
        <v>13</v>
      </c>
      <c r="O23" s="102">
        <v>8</v>
      </c>
      <c r="P23" s="102">
        <v>6</v>
      </c>
      <c r="Q23" s="102">
        <v>2</v>
      </c>
      <c r="R23" s="142">
        <v>6</v>
      </c>
      <c r="S23" s="97"/>
      <c r="T23" s="97"/>
      <c r="U23" s="139"/>
      <c r="V23" s="178"/>
      <c r="W23" s="142">
        <f t="shared" si="0"/>
        <v>54</v>
      </c>
      <c r="X23" s="288"/>
      <c r="Y23" s="115"/>
      <c r="Z23" s="279"/>
      <c r="AA23" s="281"/>
      <c r="AB23" s="284"/>
      <c r="AD23" s="142">
        <v>3</v>
      </c>
      <c r="AE23" s="142">
        <f t="shared" si="1"/>
        <v>57</v>
      </c>
      <c r="AF23" s="288"/>
      <c r="AH23" s="279"/>
      <c r="AI23" s="281"/>
      <c r="AJ23" s="284"/>
      <c r="AK23" s="195"/>
    </row>
    <row r="24" spans="2:37" ht="40.15" customHeight="1" x14ac:dyDescent="0.2">
      <c r="B24" s="193"/>
      <c r="C24" s="172"/>
      <c r="D24" s="188"/>
      <c r="E24" s="189"/>
      <c r="F24" s="274" t="s">
        <v>21</v>
      </c>
      <c r="G24" s="8">
        <v>11</v>
      </c>
      <c r="H24" s="60" t="s">
        <v>10</v>
      </c>
      <c r="I24" s="61">
        <v>3100</v>
      </c>
      <c r="J24" s="25">
        <f>80*110</f>
        <v>8800</v>
      </c>
      <c r="K24" s="29"/>
      <c r="L24" s="104">
        <v>1</v>
      </c>
      <c r="M24" s="105"/>
      <c r="N24" s="104">
        <v>9</v>
      </c>
      <c r="O24" s="104">
        <v>15</v>
      </c>
      <c r="P24" s="104">
        <v>0</v>
      </c>
      <c r="Q24" s="104">
        <v>6</v>
      </c>
      <c r="R24" s="131">
        <f>7+1</f>
        <v>8</v>
      </c>
      <c r="S24" s="106"/>
      <c r="T24" s="106"/>
      <c r="U24" s="140"/>
      <c r="V24" s="178"/>
      <c r="W24" s="131">
        <f t="shared" si="0"/>
        <v>39</v>
      </c>
      <c r="X24" s="277">
        <f>SUM(W24:W25)</f>
        <v>97</v>
      </c>
      <c r="Y24" s="115"/>
      <c r="Z24" s="279">
        <f>(SUM(W24:W25))/$W$27</f>
        <v>4.106689246401355E-2</v>
      </c>
      <c r="AA24" s="281"/>
      <c r="AB24" s="284"/>
      <c r="AD24" s="131">
        <v>3</v>
      </c>
      <c r="AE24" s="131">
        <f t="shared" si="1"/>
        <v>42</v>
      </c>
      <c r="AF24" s="277">
        <f>SUM(AE24:AE25)</f>
        <v>100</v>
      </c>
      <c r="AH24" s="279">
        <f>(SUM(AE24:AE25))/$AE$27</f>
        <v>3.7023324694557574E-2</v>
      </c>
      <c r="AI24" s="281"/>
      <c r="AJ24" s="284"/>
      <c r="AK24" s="195"/>
    </row>
    <row r="25" spans="2:37" ht="40.15" customHeight="1" thickBot="1" x14ac:dyDescent="0.25">
      <c r="B25" s="194"/>
      <c r="C25" s="172"/>
      <c r="D25" s="188"/>
      <c r="E25" s="189"/>
      <c r="F25" s="275"/>
      <c r="G25" s="6">
        <v>12</v>
      </c>
      <c r="H25" s="58" t="s">
        <v>11</v>
      </c>
      <c r="I25" s="26">
        <v>3600</v>
      </c>
      <c r="J25" s="27">
        <f>90*120</f>
        <v>10800</v>
      </c>
      <c r="K25" s="29"/>
      <c r="L25" s="107">
        <v>1</v>
      </c>
      <c r="M25" s="108"/>
      <c r="N25" s="107">
        <v>8</v>
      </c>
      <c r="O25" s="107">
        <v>15</v>
      </c>
      <c r="P25" s="107">
        <v>2</v>
      </c>
      <c r="Q25" s="107">
        <v>24</v>
      </c>
      <c r="R25" s="132">
        <v>8</v>
      </c>
      <c r="S25" s="109"/>
      <c r="T25" s="109"/>
      <c r="U25" s="141"/>
      <c r="V25" s="178"/>
      <c r="W25" s="132">
        <f t="shared" si="0"/>
        <v>58</v>
      </c>
      <c r="X25" s="278"/>
      <c r="Y25" s="115"/>
      <c r="Z25" s="279"/>
      <c r="AA25" s="281"/>
      <c r="AB25" s="284"/>
      <c r="AD25" s="132">
        <v>0</v>
      </c>
      <c r="AE25" s="132">
        <f t="shared" si="1"/>
        <v>58</v>
      </c>
      <c r="AF25" s="278"/>
      <c r="AH25" s="279"/>
      <c r="AI25" s="281"/>
      <c r="AJ25" s="284"/>
      <c r="AK25" s="195"/>
    </row>
    <row r="26" spans="2:37" ht="40.15" customHeight="1" thickBot="1" x14ac:dyDescent="0.25">
      <c r="B26" s="194"/>
      <c r="C26" s="17"/>
      <c r="D26" s="188"/>
      <c r="E26" s="189"/>
      <c r="F26" s="276"/>
      <c r="G26" s="55">
        <v>13</v>
      </c>
      <c r="H26" s="56" t="s">
        <v>58</v>
      </c>
      <c r="I26" s="67" t="s">
        <v>23</v>
      </c>
      <c r="J26" s="66">
        <v>4250</v>
      </c>
      <c r="K26" s="17"/>
      <c r="L26" s="110">
        <v>2</v>
      </c>
      <c r="M26" s="111">
        <v>13</v>
      </c>
      <c r="N26" s="112">
        <v>4</v>
      </c>
      <c r="O26" s="110">
        <v>7</v>
      </c>
      <c r="P26" s="110">
        <v>30</v>
      </c>
      <c r="Q26" s="110">
        <v>8</v>
      </c>
      <c r="R26" s="133">
        <v>6</v>
      </c>
      <c r="S26" s="110"/>
      <c r="T26" s="110"/>
      <c r="U26" s="133"/>
      <c r="V26" s="184"/>
      <c r="W26" s="133">
        <f t="shared" si="0"/>
        <v>70</v>
      </c>
      <c r="X26" s="82">
        <f>W26</f>
        <v>70</v>
      </c>
      <c r="Y26" s="115"/>
      <c r="Z26" s="113">
        <f>X26/$W$27</f>
        <v>2.9635901778154106E-2</v>
      </c>
      <c r="AA26" s="282"/>
      <c r="AB26" s="285"/>
      <c r="AD26" s="133">
        <v>15</v>
      </c>
      <c r="AE26" s="133">
        <f t="shared" si="1"/>
        <v>85</v>
      </c>
      <c r="AF26" s="82">
        <f>AE26</f>
        <v>85</v>
      </c>
      <c r="AH26" s="113">
        <f>AF26/$AE$27</f>
        <v>3.1469825990373936E-2</v>
      </c>
      <c r="AI26" s="282"/>
      <c r="AJ26" s="285"/>
      <c r="AK26" s="195"/>
    </row>
    <row r="27" spans="2:37" s="183" customFormat="1" ht="40.15" customHeight="1" x14ac:dyDescent="0.25">
      <c r="B27" s="69"/>
      <c r="C27" s="69"/>
      <c r="D27" s="70"/>
      <c r="E27" s="70"/>
      <c r="F27" s="70"/>
      <c r="G27" s="117"/>
      <c r="H27" s="115"/>
      <c r="I27" s="115"/>
      <c r="J27" s="115"/>
      <c r="K27" s="69"/>
      <c r="L27" s="71">
        <f t="shared" ref="L27:O27" si="2">SUM(L14:L26)</f>
        <v>23</v>
      </c>
      <c r="M27" s="71">
        <f t="shared" si="2"/>
        <v>268</v>
      </c>
      <c r="N27" s="71">
        <f t="shared" si="2"/>
        <v>221</v>
      </c>
      <c r="O27" s="71">
        <f t="shared" si="2"/>
        <v>336</v>
      </c>
      <c r="P27" s="71">
        <f>SUM(P14:P26)</f>
        <v>275</v>
      </c>
      <c r="Q27" s="71">
        <f>SUM(Q14:Q26)</f>
        <v>156</v>
      </c>
      <c r="R27" s="71">
        <f t="shared" ref="R27:U27" si="3">SUM(R14:R26)</f>
        <v>226</v>
      </c>
      <c r="S27" s="71">
        <f t="shared" si="3"/>
        <v>277</v>
      </c>
      <c r="T27" s="71">
        <f t="shared" si="3"/>
        <v>329</v>
      </c>
      <c r="U27" s="71">
        <f t="shared" si="3"/>
        <v>251</v>
      </c>
      <c r="V27" s="71"/>
      <c r="W27" s="71">
        <f>SUM(W14:W26)</f>
        <v>2362</v>
      </c>
      <c r="X27" s="71">
        <f>SUM(X14:X26)</f>
        <v>2362</v>
      </c>
      <c r="Y27" s="71"/>
      <c r="Z27" s="72">
        <f>SUM(Z14:Z26)</f>
        <v>1</v>
      </c>
      <c r="AA27" s="179"/>
      <c r="AB27" s="72">
        <f>SUM(Z27)</f>
        <v>1</v>
      </c>
      <c r="AC27" s="180"/>
      <c r="AD27" s="71">
        <f t="shared" ref="AD27:AF27" si="4">SUM(AD14:AD26)</f>
        <v>339</v>
      </c>
      <c r="AE27" s="71">
        <f t="shared" si="4"/>
        <v>2701</v>
      </c>
      <c r="AF27" s="71">
        <f t="shared" si="4"/>
        <v>2701</v>
      </c>
      <c r="AH27" s="72">
        <f>SUM(AH14:AH26)</f>
        <v>1</v>
      </c>
      <c r="AI27" s="71">
        <f>SUM(AI14:AI26)</f>
        <v>2701</v>
      </c>
      <c r="AJ27" s="72">
        <f>SUM(AJ14:AJ26)</f>
        <v>1</v>
      </c>
      <c r="AK27" s="192"/>
    </row>
    <row r="28" spans="2:37" s="183" customFormat="1" ht="21" customHeight="1" x14ac:dyDescent="0.25">
      <c r="D28" s="200"/>
      <c r="E28" s="200"/>
      <c r="F28" s="200"/>
      <c r="G28" s="200"/>
      <c r="AC28" s="17"/>
    </row>
    <row r="29" spans="2:37" s="183" customFormat="1" ht="37.15" customHeight="1" x14ac:dyDescent="0.25">
      <c r="D29" s="200"/>
      <c r="E29" s="200"/>
      <c r="F29" s="200"/>
      <c r="G29" s="200"/>
      <c r="AC29" s="17"/>
      <c r="AF29" s="73" t="s">
        <v>65</v>
      </c>
      <c r="AH29" s="122">
        <f>AE27</f>
        <v>2701</v>
      </c>
    </row>
    <row r="30" spans="2:37" s="183" customFormat="1" ht="25.9" customHeight="1" x14ac:dyDescent="0.25">
      <c r="D30" s="200"/>
      <c r="E30" s="200"/>
      <c r="F30" s="200"/>
      <c r="G30" s="200"/>
      <c r="AC30" s="17"/>
      <c r="AF30" s="73" t="s">
        <v>27</v>
      </c>
      <c r="AH30" s="201">
        <v>3012</v>
      </c>
    </row>
    <row r="31" spans="2:37" s="183" customFormat="1" ht="25.9" customHeight="1" x14ac:dyDescent="0.25">
      <c r="D31" s="200"/>
      <c r="E31" s="200"/>
      <c r="F31" s="200"/>
      <c r="G31" s="200"/>
      <c r="AC31" s="17"/>
      <c r="AF31" s="134" t="s">
        <v>24</v>
      </c>
      <c r="AH31" s="135">
        <f>AH30-AH29</f>
        <v>311</v>
      </c>
    </row>
  </sheetData>
  <mergeCells count="38">
    <mergeCell ref="F9:AB9"/>
    <mergeCell ref="AD9:AJ9"/>
    <mergeCell ref="F10:AB10"/>
    <mergeCell ref="F11:J11"/>
    <mergeCell ref="L11:M11"/>
    <mergeCell ref="AE11:AF11"/>
    <mergeCell ref="AH11:AJ11"/>
    <mergeCell ref="G12:H12"/>
    <mergeCell ref="W12:X12"/>
    <mergeCell ref="AE12:AF12"/>
    <mergeCell ref="W11:X11"/>
    <mergeCell ref="Z11:AB12"/>
    <mergeCell ref="AI14:AI17"/>
    <mergeCell ref="AJ14:AJ17"/>
    <mergeCell ref="F15:F23"/>
    <mergeCell ref="X15:X17"/>
    <mergeCell ref="Z15:Z17"/>
    <mergeCell ref="AF15:AF17"/>
    <mergeCell ref="AH15:AH17"/>
    <mergeCell ref="X18:X20"/>
    <mergeCell ref="AA14:AA17"/>
    <mergeCell ref="AB14:AB17"/>
    <mergeCell ref="F24:F26"/>
    <mergeCell ref="X24:X25"/>
    <mergeCell ref="Z24:Z25"/>
    <mergeCell ref="AI18:AI26"/>
    <mergeCell ref="AJ18:AJ26"/>
    <mergeCell ref="X21:X23"/>
    <mergeCell ref="Z21:Z23"/>
    <mergeCell ref="AF21:AF23"/>
    <mergeCell ref="AH21:AH23"/>
    <mergeCell ref="AH24:AH25"/>
    <mergeCell ref="Z18:Z20"/>
    <mergeCell ref="AA18:AA26"/>
    <mergeCell ref="AB18:AB26"/>
    <mergeCell ref="AF18:AF20"/>
    <mergeCell ref="AH18:AH20"/>
    <mergeCell ref="AF24:AF25"/>
  </mergeCells>
  <pageMargins left="0.9" right="0.4" top="1" bottom="0.25" header="0" footer="0"/>
  <pageSetup paperSize="3" scale="5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CC99F-70D6-4B11-AD8D-CC4BD5F3ADFE}">
  <dimension ref="A1:W22"/>
  <sheetViews>
    <sheetView tabSelected="1" zoomScale="80" zoomScaleNormal="80" workbookViewId="0">
      <selection activeCell="J23" sqref="J23"/>
    </sheetView>
  </sheetViews>
  <sheetFormatPr defaultRowHeight="12.75" x14ac:dyDescent="0.2"/>
  <cols>
    <col min="1" max="1" width="16.28515625" bestFit="1" customWidth="1"/>
    <col min="2" max="2" width="7.7109375" bestFit="1" customWidth="1"/>
    <col min="3" max="3" width="8.140625" bestFit="1" customWidth="1"/>
    <col min="4" max="4" width="19.28515625" bestFit="1" customWidth="1"/>
    <col min="5" max="5" width="14.140625" customWidth="1"/>
    <col min="6" max="6" width="17.7109375" bestFit="1" customWidth="1"/>
    <col min="7" max="7" width="4.28515625" customWidth="1"/>
    <col min="8" max="8" width="16.140625" customWidth="1"/>
    <col min="9" max="9" width="12.28515625" bestFit="1" customWidth="1"/>
    <col min="10" max="10" width="21.28515625" bestFit="1" customWidth="1"/>
    <col min="11" max="11" width="17.7109375" bestFit="1" customWidth="1"/>
    <col min="12" max="12" width="11" bestFit="1" customWidth="1"/>
    <col min="13" max="13" width="3.7109375" customWidth="1"/>
    <col min="14" max="14" width="16.140625" hidden="1" customWidth="1"/>
    <col min="15" max="15" width="12.28515625" hidden="1" customWidth="1"/>
    <col min="16" max="16" width="21.28515625" hidden="1" customWidth="1"/>
    <col min="17" max="17" width="17.7109375" hidden="1" customWidth="1"/>
    <col min="18" max="18" width="4.28515625" hidden="1" customWidth="1"/>
    <col min="19" max="19" width="16.28515625" hidden="1" customWidth="1"/>
    <col min="20" max="20" width="12.28515625" hidden="1" customWidth="1"/>
    <col min="21" max="21" width="21.28515625" hidden="1" customWidth="1"/>
    <col min="22" max="22" width="17.7109375" hidden="1" customWidth="1"/>
    <col min="23" max="24" width="10.140625" customWidth="1"/>
  </cols>
  <sheetData>
    <row r="1" spans="1:23" x14ac:dyDescent="0.2">
      <c r="H1" s="267" t="s">
        <v>83</v>
      </c>
      <c r="I1" s="267"/>
      <c r="J1" s="267"/>
      <c r="K1" s="267"/>
      <c r="L1" s="267"/>
      <c r="N1" s="262" t="s">
        <v>81</v>
      </c>
      <c r="O1" s="262"/>
      <c r="P1" s="262"/>
      <c r="Q1" s="262"/>
      <c r="S1" s="262" t="s">
        <v>82</v>
      </c>
      <c r="T1" s="262"/>
      <c r="U1" s="262"/>
      <c r="V1" s="262"/>
    </row>
    <row r="2" spans="1:23" x14ac:dyDescent="0.2">
      <c r="A2" t="s">
        <v>79</v>
      </c>
      <c r="B2" t="s">
        <v>76</v>
      </c>
      <c r="C2" t="s">
        <v>77</v>
      </c>
      <c r="D2" t="s">
        <v>84</v>
      </c>
      <c r="E2" t="s">
        <v>85</v>
      </c>
      <c r="F2" t="s">
        <v>86</v>
      </c>
      <c r="H2" s="267" t="s">
        <v>87</v>
      </c>
      <c r="I2" s="267" t="s">
        <v>85</v>
      </c>
      <c r="J2" s="267" t="s">
        <v>88</v>
      </c>
      <c r="K2" s="267" t="s">
        <v>86</v>
      </c>
      <c r="L2" s="267" t="s">
        <v>80</v>
      </c>
      <c r="N2" s="262" t="s">
        <v>87</v>
      </c>
      <c r="O2" s="262" t="s">
        <v>85</v>
      </c>
      <c r="P2" s="262" t="s">
        <v>88</v>
      </c>
      <c r="Q2" s="262" t="s">
        <v>86</v>
      </c>
      <c r="S2" s="262" t="s">
        <v>87</v>
      </c>
      <c r="T2" s="262" t="s">
        <v>85</v>
      </c>
      <c r="U2" s="262" t="s">
        <v>88</v>
      </c>
      <c r="V2" s="262" t="s">
        <v>86</v>
      </c>
    </row>
    <row r="3" spans="1:23" x14ac:dyDescent="0.2">
      <c r="A3" s="255">
        <v>4369661</v>
      </c>
      <c r="B3">
        <v>300</v>
      </c>
      <c r="C3">
        <v>300</v>
      </c>
      <c r="D3" s="255">
        <v>43700</v>
      </c>
      <c r="E3" s="256">
        <f>D3/3</f>
        <v>14566.666666666666</v>
      </c>
      <c r="F3" s="256">
        <f>C3*E3</f>
        <v>4370000</v>
      </c>
      <c r="H3" s="268">
        <v>0</v>
      </c>
      <c r="I3" s="327">
        <f>43700/3</f>
        <v>14566.666666666666</v>
      </c>
      <c r="J3" s="268">
        <f t="shared" ref="J3:J8" si="0">H3*C3</f>
        <v>0</v>
      </c>
      <c r="K3" s="268">
        <v>4370000</v>
      </c>
      <c r="L3" s="269">
        <f t="shared" ref="L3:L8" si="1">(I3-E3)/E3</f>
        <v>0</v>
      </c>
      <c r="M3" s="260"/>
      <c r="N3" s="263">
        <f>-($F$20)/636</f>
        <v>681.34171907756036</v>
      </c>
      <c r="O3" s="264">
        <f t="shared" ref="O3:O15" si="2">E3+N3</f>
        <v>15248.008385744226</v>
      </c>
      <c r="P3" s="264">
        <f t="shared" ref="P3:P15" si="3">N3*C3</f>
        <v>204402.51572326809</v>
      </c>
      <c r="Q3" s="264">
        <f t="shared" ref="Q3:Q15" si="4">C3*O3</f>
        <v>4574402.5157232676</v>
      </c>
      <c r="R3" s="256"/>
      <c r="S3" s="263">
        <v>0</v>
      </c>
      <c r="T3" s="264">
        <f t="shared" ref="T3:T15" si="5">E3+S3</f>
        <v>14566.666666666666</v>
      </c>
      <c r="U3" s="264">
        <f t="shared" ref="U3:U15" si="6">S3*C3</f>
        <v>0</v>
      </c>
      <c r="V3" s="263">
        <f t="shared" ref="V3:V15" si="7">C3*T3</f>
        <v>4370000</v>
      </c>
    </row>
    <row r="4" spans="1:23" x14ac:dyDescent="0.2">
      <c r="A4" s="255">
        <v>4522982</v>
      </c>
      <c r="B4">
        <v>118</v>
      </c>
      <c r="C4">
        <v>67</v>
      </c>
      <c r="D4" s="255">
        <v>115000</v>
      </c>
      <c r="E4" s="256">
        <f t="shared" ref="E4:E15" si="8">D4/3</f>
        <v>38333.333333333336</v>
      </c>
      <c r="F4" s="256">
        <f t="shared" ref="F4:F15" si="9">C4*E4</f>
        <v>2568333.3333333335</v>
      </c>
      <c r="H4" s="270">
        <f>((F4/($F$16-$F$3))*(-$F$20))/C4</f>
        <v>997.56447469387933</v>
      </c>
      <c r="I4" s="328">
        <f>H4+E4</f>
        <v>39330.897808027214</v>
      </c>
      <c r="J4" s="268">
        <f t="shared" si="0"/>
        <v>66836.819804489918</v>
      </c>
      <c r="K4" s="268">
        <f>I4*C4</f>
        <v>2635170.1531378231</v>
      </c>
      <c r="L4" s="269">
        <f t="shared" si="1"/>
        <v>2.6023421078970724E-2</v>
      </c>
      <c r="M4" s="260"/>
      <c r="N4" s="263">
        <f t="shared" ref="N4:N15" si="10">-($F$20)/636</f>
        <v>681.34171907756036</v>
      </c>
      <c r="O4" s="264">
        <f t="shared" si="2"/>
        <v>39014.675052410894</v>
      </c>
      <c r="P4" s="264">
        <f t="shared" si="3"/>
        <v>45649.895178196544</v>
      </c>
      <c r="Q4" s="264">
        <f t="shared" si="4"/>
        <v>2613983.22851153</v>
      </c>
      <c r="S4" s="263">
        <f>-($F$20/336)</f>
        <v>1289.682539682525</v>
      </c>
      <c r="T4" s="264">
        <f t="shared" si="5"/>
        <v>39623.015873015858</v>
      </c>
      <c r="U4" s="264">
        <f t="shared" si="6"/>
        <v>86408.730158729173</v>
      </c>
      <c r="V4" s="263">
        <f t="shared" si="7"/>
        <v>2654742.0634920625</v>
      </c>
      <c r="W4" s="260"/>
    </row>
    <row r="5" spans="1:23" x14ac:dyDescent="0.2">
      <c r="A5" s="255">
        <v>536625</v>
      </c>
      <c r="B5">
        <v>14</v>
      </c>
      <c r="C5">
        <v>20</v>
      </c>
      <c r="D5" s="255">
        <v>115000</v>
      </c>
      <c r="E5" s="256">
        <f t="shared" si="8"/>
        <v>38333.333333333336</v>
      </c>
      <c r="F5" s="256">
        <f t="shared" si="9"/>
        <v>766666.66666666674</v>
      </c>
      <c r="H5" s="270">
        <f>((F5/($F$16-$F$3))*(-$F$20))/C5</f>
        <v>997.56447469387945</v>
      </c>
      <c r="I5" s="328">
        <f>H5+E5</f>
        <v>39330.897808027214</v>
      </c>
      <c r="J5" s="268">
        <f t="shared" si="0"/>
        <v>19951.28949387759</v>
      </c>
      <c r="K5" s="268">
        <f>I5*C5</f>
        <v>786617.9561605443</v>
      </c>
      <c r="L5" s="269">
        <f t="shared" si="1"/>
        <v>2.6023421078970724E-2</v>
      </c>
      <c r="M5" s="260"/>
      <c r="N5" s="263">
        <f t="shared" si="10"/>
        <v>681.34171907756036</v>
      </c>
      <c r="O5" s="264">
        <f t="shared" si="2"/>
        <v>39014.675052410894</v>
      </c>
      <c r="P5" s="264">
        <f t="shared" si="3"/>
        <v>13626.834381551207</v>
      </c>
      <c r="Q5" s="264">
        <f t="shared" si="4"/>
        <v>780293.50104821788</v>
      </c>
      <c r="S5" s="263">
        <f t="shared" ref="S5:S15" si="11">-($F$20/336)</f>
        <v>1289.682539682525</v>
      </c>
      <c r="T5" s="264">
        <f t="shared" si="5"/>
        <v>39623.015873015858</v>
      </c>
      <c r="U5" s="264">
        <f t="shared" si="6"/>
        <v>25793.6507936505</v>
      </c>
      <c r="V5" s="263">
        <f t="shared" si="7"/>
        <v>792460.31746031716</v>
      </c>
      <c r="W5" s="260"/>
    </row>
    <row r="6" spans="1:23" x14ac:dyDescent="0.2">
      <c r="A6" s="255">
        <v>728277</v>
      </c>
      <c r="B6">
        <v>19</v>
      </c>
      <c r="C6">
        <v>56</v>
      </c>
      <c r="D6" s="255">
        <v>115000</v>
      </c>
      <c r="E6" s="256">
        <f t="shared" si="8"/>
        <v>38333.333333333336</v>
      </c>
      <c r="F6" s="256">
        <f t="shared" si="9"/>
        <v>2146666.666666667</v>
      </c>
      <c r="H6" s="270">
        <f>((F6/($F$16-$F$3))*(-$F$20))/C6</f>
        <v>997.56447469387967</v>
      </c>
      <c r="I6" s="328">
        <f>H6+E6</f>
        <v>39330.897808027214</v>
      </c>
      <c r="J6" s="268">
        <f t="shared" si="0"/>
        <v>55863.610582857262</v>
      </c>
      <c r="K6" s="268">
        <f>I6*C6</f>
        <v>2202530.2772495239</v>
      </c>
      <c r="L6" s="269">
        <f t="shared" si="1"/>
        <v>2.6023421078970724E-2</v>
      </c>
      <c r="M6" s="260"/>
      <c r="N6" s="263">
        <f t="shared" si="10"/>
        <v>681.34171907756036</v>
      </c>
      <c r="O6" s="264">
        <f t="shared" si="2"/>
        <v>39014.675052410894</v>
      </c>
      <c r="P6" s="264">
        <f t="shared" si="3"/>
        <v>38155.136268343384</v>
      </c>
      <c r="Q6" s="264">
        <f t="shared" si="4"/>
        <v>2184821.8029350098</v>
      </c>
      <c r="S6" s="263">
        <f t="shared" si="11"/>
        <v>1289.682539682525</v>
      </c>
      <c r="T6" s="264">
        <f t="shared" si="5"/>
        <v>39623.015873015858</v>
      </c>
      <c r="U6" s="264">
        <f t="shared" si="6"/>
        <v>72222.222222221404</v>
      </c>
      <c r="V6" s="263">
        <f t="shared" si="7"/>
        <v>2218888.8888888881</v>
      </c>
      <c r="W6" s="260"/>
    </row>
    <row r="7" spans="1:23" x14ac:dyDescent="0.2">
      <c r="A7" s="255">
        <v>519960</v>
      </c>
      <c r="B7">
        <v>13</v>
      </c>
      <c r="C7">
        <v>28</v>
      </c>
      <c r="D7" s="255">
        <v>120000</v>
      </c>
      <c r="E7" s="256">
        <f t="shared" si="8"/>
        <v>40000</v>
      </c>
      <c r="F7" s="256">
        <f t="shared" si="9"/>
        <v>1120000</v>
      </c>
      <c r="H7" s="270">
        <f>((F7/($F$16-$F$3))*(-$F$20))/C7</f>
        <v>1040.9368431588307</v>
      </c>
      <c r="I7" s="328">
        <f>H7+E7</f>
        <v>41040.93684315883</v>
      </c>
      <c r="J7" s="268">
        <f t="shared" si="0"/>
        <v>29146.231608447259</v>
      </c>
      <c r="K7" s="268">
        <f>I7*C7</f>
        <v>1149146.2316084472</v>
      </c>
      <c r="L7" s="269">
        <f t="shared" si="1"/>
        <v>2.6023421078970752E-2</v>
      </c>
      <c r="M7" s="260"/>
      <c r="N7" s="263">
        <f t="shared" si="10"/>
        <v>681.34171907756036</v>
      </c>
      <c r="O7" s="264">
        <f t="shared" si="2"/>
        <v>40681.341719077558</v>
      </c>
      <c r="P7" s="264">
        <f t="shared" si="3"/>
        <v>19077.568134171692</v>
      </c>
      <c r="Q7" s="264">
        <f t="shared" si="4"/>
        <v>1139077.5681341717</v>
      </c>
      <c r="S7" s="263">
        <f t="shared" si="11"/>
        <v>1289.682539682525</v>
      </c>
      <c r="T7" s="264">
        <f t="shared" si="5"/>
        <v>41289.682539682522</v>
      </c>
      <c r="U7" s="264">
        <f t="shared" si="6"/>
        <v>36111.111111110702</v>
      </c>
      <c r="V7" s="263">
        <f t="shared" si="7"/>
        <v>1156111.1111111105</v>
      </c>
      <c r="W7" s="260"/>
    </row>
    <row r="8" spans="1:23" x14ac:dyDescent="0.2">
      <c r="A8" s="255">
        <v>1169909</v>
      </c>
      <c r="B8">
        <v>26</v>
      </c>
      <c r="C8">
        <v>28</v>
      </c>
      <c r="D8" s="255">
        <v>135000</v>
      </c>
      <c r="E8" s="256">
        <f t="shared" si="8"/>
        <v>45000</v>
      </c>
      <c r="F8" s="256">
        <f t="shared" si="9"/>
        <v>1260000</v>
      </c>
      <c r="H8" s="270">
        <f>((F8/($F$16-$F$3))*(-$F$20))/C8</f>
        <v>1171.0539485536847</v>
      </c>
      <c r="I8" s="328">
        <f>H8+E8</f>
        <v>46171.053948553686</v>
      </c>
      <c r="J8" s="268">
        <f t="shared" si="0"/>
        <v>32789.510559503171</v>
      </c>
      <c r="K8" s="268">
        <f>I8*C8</f>
        <v>1292789.5105595032</v>
      </c>
      <c r="L8" s="269">
        <f t="shared" si="1"/>
        <v>2.602342107897081E-2</v>
      </c>
      <c r="M8" s="260"/>
      <c r="N8" s="263">
        <f t="shared" si="10"/>
        <v>681.34171907756036</v>
      </c>
      <c r="O8" s="264">
        <f t="shared" si="2"/>
        <v>45681.341719077558</v>
      </c>
      <c r="P8" s="264">
        <f t="shared" si="3"/>
        <v>19077.568134171692</v>
      </c>
      <c r="Q8" s="264">
        <f t="shared" si="4"/>
        <v>1279077.5681341717</v>
      </c>
      <c r="S8" s="263">
        <f t="shared" si="11"/>
        <v>1289.682539682525</v>
      </c>
      <c r="T8" s="264">
        <f t="shared" si="5"/>
        <v>46289.682539682522</v>
      </c>
      <c r="U8" s="264">
        <f t="shared" si="6"/>
        <v>36111.111111110702</v>
      </c>
      <c r="V8" s="263">
        <f t="shared" si="7"/>
        <v>1296111.1111111105</v>
      </c>
      <c r="W8" s="260"/>
    </row>
    <row r="9" spans="1:23" x14ac:dyDescent="0.2">
      <c r="A9" s="255">
        <v>676614</v>
      </c>
      <c r="B9">
        <v>14</v>
      </c>
      <c r="C9">
        <v>0</v>
      </c>
      <c r="D9" s="255">
        <v>145000</v>
      </c>
      <c r="E9" s="256">
        <f t="shared" si="8"/>
        <v>48333.333333333336</v>
      </c>
      <c r="F9" s="256">
        <f t="shared" si="9"/>
        <v>0</v>
      </c>
      <c r="H9" s="270">
        <v>0</v>
      </c>
      <c r="I9" s="328">
        <v>0</v>
      </c>
      <c r="J9" s="268">
        <v>0</v>
      </c>
      <c r="K9" s="268">
        <v>0</v>
      </c>
      <c r="L9" s="269">
        <v>0</v>
      </c>
      <c r="M9" s="260"/>
      <c r="N9" s="263">
        <f t="shared" si="10"/>
        <v>681.34171907756036</v>
      </c>
      <c r="O9" s="264">
        <f t="shared" si="2"/>
        <v>49014.675052410894</v>
      </c>
      <c r="P9" s="264">
        <f t="shared" si="3"/>
        <v>0</v>
      </c>
      <c r="Q9" s="264">
        <f t="shared" si="4"/>
        <v>0</v>
      </c>
      <c r="S9" s="263">
        <f t="shared" si="11"/>
        <v>1289.682539682525</v>
      </c>
      <c r="T9" s="264">
        <f t="shared" si="5"/>
        <v>49623.015873015858</v>
      </c>
      <c r="U9" s="264">
        <f t="shared" si="6"/>
        <v>0</v>
      </c>
      <c r="V9" s="263">
        <f t="shared" si="7"/>
        <v>0</v>
      </c>
      <c r="W9" s="260"/>
    </row>
    <row r="10" spans="1:23" x14ac:dyDescent="0.2">
      <c r="A10" s="255">
        <v>1756530</v>
      </c>
      <c r="B10">
        <v>31</v>
      </c>
      <c r="C10">
        <v>31</v>
      </c>
      <c r="D10" s="255">
        <v>170000</v>
      </c>
      <c r="E10" s="256">
        <f t="shared" si="8"/>
        <v>56666.666666666664</v>
      </c>
      <c r="F10" s="256">
        <f t="shared" si="9"/>
        <v>1756666.6666666665</v>
      </c>
      <c r="H10" s="270">
        <f t="shared" ref="H10:H15" si="12">((F10/($F$16-$F$3))*(-$F$20))/C10</f>
        <v>1474.6605278083434</v>
      </c>
      <c r="I10" s="328">
        <f t="shared" ref="I10:I15" si="13">H10+E10</f>
        <v>58141.327194475009</v>
      </c>
      <c r="J10" s="268">
        <f t="shared" ref="J10:J15" si="14">H10*C10</f>
        <v>45714.476362058645</v>
      </c>
      <c r="K10" s="268">
        <f t="shared" ref="K10:K15" si="15">I10*C10</f>
        <v>1802381.1430287252</v>
      </c>
      <c r="L10" s="269">
        <f t="shared" ref="L10:L15" si="16">(I10-E10)/E10</f>
        <v>2.6023421078970783E-2</v>
      </c>
      <c r="M10" s="260"/>
      <c r="N10" s="263">
        <f t="shared" si="10"/>
        <v>681.34171907756036</v>
      </c>
      <c r="O10" s="264">
        <f t="shared" si="2"/>
        <v>57348.008385744222</v>
      </c>
      <c r="P10" s="264">
        <f t="shared" si="3"/>
        <v>21121.59329140437</v>
      </c>
      <c r="Q10" s="264">
        <f t="shared" si="4"/>
        <v>1777788.2599580709</v>
      </c>
      <c r="S10" s="263">
        <f t="shared" si="11"/>
        <v>1289.682539682525</v>
      </c>
      <c r="T10" s="264">
        <f t="shared" si="5"/>
        <v>57956.349206349187</v>
      </c>
      <c r="U10" s="264">
        <f t="shared" si="6"/>
        <v>39980.158730158277</v>
      </c>
      <c r="V10" s="263">
        <f t="shared" si="7"/>
        <v>1796646.8253968249</v>
      </c>
      <c r="W10" s="260"/>
    </row>
    <row r="11" spans="1:23" x14ac:dyDescent="0.2">
      <c r="A11" s="255">
        <v>1379893</v>
      </c>
      <c r="B11">
        <v>23</v>
      </c>
      <c r="C11">
        <v>23</v>
      </c>
      <c r="D11" s="255">
        <v>180000</v>
      </c>
      <c r="E11" s="256">
        <f t="shared" si="8"/>
        <v>60000</v>
      </c>
      <c r="F11" s="256">
        <f t="shared" si="9"/>
        <v>1380000</v>
      </c>
      <c r="H11" s="270">
        <f t="shared" si="12"/>
        <v>1561.4052647382462</v>
      </c>
      <c r="I11" s="328">
        <f t="shared" si="13"/>
        <v>61561.405264738249</v>
      </c>
      <c r="J11" s="268">
        <f t="shared" si="14"/>
        <v>35912.321088979661</v>
      </c>
      <c r="K11" s="268">
        <f t="shared" si="15"/>
        <v>1415912.3210889797</v>
      </c>
      <c r="L11" s="269">
        <f t="shared" si="16"/>
        <v>2.602342107897081E-2</v>
      </c>
      <c r="M11" s="260"/>
      <c r="N11" s="263">
        <f t="shared" si="10"/>
        <v>681.34171907756036</v>
      </c>
      <c r="O11" s="264">
        <f t="shared" si="2"/>
        <v>60681.341719077558</v>
      </c>
      <c r="P11" s="264">
        <f t="shared" si="3"/>
        <v>15670.859538783889</v>
      </c>
      <c r="Q11" s="264">
        <f t="shared" si="4"/>
        <v>1395670.8595387838</v>
      </c>
      <c r="S11" s="263">
        <f t="shared" si="11"/>
        <v>1289.682539682525</v>
      </c>
      <c r="T11" s="264">
        <f t="shared" si="5"/>
        <v>61289.682539682522</v>
      </c>
      <c r="U11" s="264">
        <f t="shared" si="6"/>
        <v>29662.698412698075</v>
      </c>
      <c r="V11" s="263">
        <f t="shared" si="7"/>
        <v>1409662.698412698</v>
      </c>
      <c r="W11" s="260"/>
    </row>
    <row r="12" spans="1:23" x14ac:dyDescent="0.2">
      <c r="A12" s="255">
        <v>979924</v>
      </c>
      <c r="B12">
        <v>14</v>
      </c>
      <c r="C12">
        <v>14</v>
      </c>
      <c r="D12" s="255">
        <v>210000</v>
      </c>
      <c r="E12" s="256">
        <f t="shared" si="8"/>
        <v>70000</v>
      </c>
      <c r="F12" s="256">
        <f t="shared" si="9"/>
        <v>980000</v>
      </c>
      <c r="H12" s="270">
        <f t="shared" si="12"/>
        <v>1821.6394755279539</v>
      </c>
      <c r="I12" s="328">
        <f t="shared" si="13"/>
        <v>71821.639475527947</v>
      </c>
      <c r="J12" s="268">
        <f t="shared" si="14"/>
        <v>25502.952657391354</v>
      </c>
      <c r="K12" s="268">
        <f t="shared" si="15"/>
        <v>1005502.9526573913</v>
      </c>
      <c r="L12" s="269">
        <f t="shared" si="16"/>
        <v>2.6023421078970672E-2</v>
      </c>
      <c r="M12" s="260"/>
      <c r="N12" s="263">
        <f t="shared" si="10"/>
        <v>681.34171907756036</v>
      </c>
      <c r="O12" s="264">
        <f t="shared" si="2"/>
        <v>70681.341719077565</v>
      </c>
      <c r="P12" s="264">
        <f t="shared" si="3"/>
        <v>9538.7840670858459</v>
      </c>
      <c r="Q12" s="264">
        <f t="shared" si="4"/>
        <v>989538.78406708594</v>
      </c>
      <c r="S12" s="263">
        <f t="shared" si="11"/>
        <v>1289.682539682525</v>
      </c>
      <c r="T12" s="264">
        <f t="shared" si="5"/>
        <v>71289.68253968253</v>
      </c>
      <c r="U12" s="264">
        <f t="shared" si="6"/>
        <v>18055.555555555351</v>
      </c>
      <c r="V12" s="263">
        <f t="shared" si="7"/>
        <v>998055.55555555539</v>
      </c>
      <c r="W12" s="260"/>
    </row>
    <row r="13" spans="1:23" x14ac:dyDescent="0.2">
      <c r="A13" s="255">
        <v>1409890</v>
      </c>
      <c r="B13">
        <v>18</v>
      </c>
      <c r="C13">
        <v>15</v>
      </c>
      <c r="D13" s="255">
        <v>235000</v>
      </c>
      <c r="E13" s="256">
        <f t="shared" si="8"/>
        <v>78333.333333333328</v>
      </c>
      <c r="F13" s="256">
        <f t="shared" si="9"/>
        <v>1175000</v>
      </c>
      <c r="H13" s="270">
        <f t="shared" si="12"/>
        <v>2038.5013178527101</v>
      </c>
      <c r="I13" s="328">
        <f t="shared" si="13"/>
        <v>80371.834651186044</v>
      </c>
      <c r="J13" s="268">
        <f t="shared" si="14"/>
        <v>30577.519767790651</v>
      </c>
      <c r="K13" s="268">
        <f t="shared" si="15"/>
        <v>1205577.5197677906</v>
      </c>
      <c r="L13" s="269">
        <f t="shared" si="16"/>
        <v>2.6023421078970835E-2</v>
      </c>
      <c r="M13" s="260"/>
      <c r="N13" s="263">
        <f t="shared" si="10"/>
        <v>681.34171907756036</v>
      </c>
      <c r="O13" s="264">
        <f t="shared" si="2"/>
        <v>79014.675052410894</v>
      </c>
      <c r="P13" s="264">
        <f t="shared" si="3"/>
        <v>10220.125786163406</v>
      </c>
      <c r="Q13" s="264">
        <f t="shared" si="4"/>
        <v>1185220.1257861634</v>
      </c>
      <c r="S13" s="263">
        <f t="shared" si="11"/>
        <v>1289.682539682525</v>
      </c>
      <c r="T13" s="264">
        <f t="shared" si="5"/>
        <v>79623.015873015858</v>
      </c>
      <c r="U13" s="264">
        <f t="shared" si="6"/>
        <v>19345.238095237873</v>
      </c>
      <c r="V13" s="263">
        <f t="shared" si="7"/>
        <v>1194345.2380952379</v>
      </c>
      <c r="W13" s="260"/>
    </row>
    <row r="14" spans="1:23" x14ac:dyDescent="0.2">
      <c r="A14" s="255">
        <v>1493217</v>
      </c>
      <c r="B14">
        <v>16</v>
      </c>
      <c r="C14">
        <v>17</v>
      </c>
      <c r="D14" s="255">
        <v>280000</v>
      </c>
      <c r="E14" s="256">
        <f t="shared" si="8"/>
        <v>93333.333333333328</v>
      </c>
      <c r="F14" s="256">
        <f t="shared" si="9"/>
        <v>1586666.6666666665</v>
      </c>
      <c r="H14" s="270">
        <f t="shared" si="12"/>
        <v>2428.8526340372714</v>
      </c>
      <c r="I14" s="328">
        <f t="shared" si="13"/>
        <v>95762.185967370606</v>
      </c>
      <c r="J14" s="268">
        <f t="shared" si="14"/>
        <v>41290.494778633612</v>
      </c>
      <c r="K14" s="268">
        <f t="shared" si="15"/>
        <v>1627957.1614453003</v>
      </c>
      <c r="L14" s="269">
        <f t="shared" si="16"/>
        <v>2.6023421078970831E-2</v>
      </c>
      <c r="M14" s="260"/>
      <c r="N14" s="263">
        <f t="shared" si="10"/>
        <v>681.34171907756036</v>
      </c>
      <c r="O14" s="264">
        <f t="shared" si="2"/>
        <v>94014.675052410894</v>
      </c>
      <c r="P14" s="264">
        <f t="shared" si="3"/>
        <v>11582.809224318526</v>
      </c>
      <c r="Q14" s="264">
        <f t="shared" si="4"/>
        <v>1598249.4758909852</v>
      </c>
      <c r="S14" s="263">
        <f t="shared" si="11"/>
        <v>1289.682539682525</v>
      </c>
      <c r="T14" s="264">
        <f t="shared" si="5"/>
        <v>94623.015873015858</v>
      </c>
      <c r="U14" s="264">
        <f t="shared" si="6"/>
        <v>21924.603174602926</v>
      </c>
      <c r="V14" s="263">
        <f t="shared" si="7"/>
        <v>1608591.2698412696</v>
      </c>
      <c r="W14" s="260"/>
    </row>
    <row r="15" spans="1:23" x14ac:dyDescent="0.2">
      <c r="A15" s="258">
        <v>1911518</v>
      </c>
      <c r="B15" s="257">
        <v>37</v>
      </c>
      <c r="C15" s="257">
        <v>37</v>
      </c>
      <c r="D15" s="258">
        <v>155000</v>
      </c>
      <c r="E15" s="259">
        <f t="shared" si="8"/>
        <v>51666.666666666664</v>
      </c>
      <c r="F15" s="259">
        <f t="shared" si="9"/>
        <v>1911666.6666666665</v>
      </c>
      <c r="H15" s="271">
        <f t="shared" si="12"/>
        <v>1344.5434224134897</v>
      </c>
      <c r="I15" s="329">
        <f t="shared" si="13"/>
        <v>53011.210089080152</v>
      </c>
      <c r="J15" s="272">
        <f t="shared" si="14"/>
        <v>49748.106629299116</v>
      </c>
      <c r="K15" s="272">
        <f t="shared" si="15"/>
        <v>1961414.7732959655</v>
      </c>
      <c r="L15" s="273">
        <f t="shared" si="16"/>
        <v>2.6023421078970734E-2</v>
      </c>
      <c r="M15" s="261"/>
      <c r="N15" s="265">
        <f t="shared" si="10"/>
        <v>681.34171907756036</v>
      </c>
      <c r="O15" s="266">
        <f t="shared" si="2"/>
        <v>52348.008385744222</v>
      </c>
      <c r="P15" s="266">
        <f t="shared" si="3"/>
        <v>25209.643605869733</v>
      </c>
      <c r="Q15" s="266">
        <f t="shared" si="4"/>
        <v>1936876.3102725362</v>
      </c>
      <c r="S15" s="265">
        <f t="shared" si="11"/>
        <v>1289.682539682525</v>
      </c>
      <c r="T15" s="266">
        <f t="shared" si="5"/>
        <v>52956.349206349187</v>
      </c>
      <c r="U15" s="266">
        <f t="shared" si="6"/>
        <v>47718.253968253426</v>
      </c>
      <c r="V15" s="265">
        <f t="shared" si="7"/>
        <v>1959384.92063492</v>
      </c>
      <c r="W15" s="260"/>
    </row>
    <row r="16" spans="1:23" x14ac:dyDescent="0.2">
      <c r="A16" s="256">
        <f>SUM(A3:A15)</f>
        <v>21455000</v>
      </c>
      <c r="B16">
        <f>SUM(B3:B15)</f>
        <v>643</v>
      </c>
      <c r="C16">
        <f>SUM(C3:C15)</f>
        <v>636</v>
      </c>
      <c r="F16" s="256">
        <f>SUM(F3:F15)</f>
        <v>21021666.666666672</v>
      </c>
      <c r="H16" s="267"/>
      <c r="I16" s="267"/>
      <c r="J16" s="270">
        <f>SUM(J3:J15)</f>
        <v>433333.33333332825</v>
      </c>
      <c r="K16" s="268">
        <f>SUM(K3:K15)</f>
        <v>21454999.999999993</v>
      </c>
      <c r="L16" s="267"/>
      <c r="N16" s="262"/>
      <c r="O16" s="262"/>
      <c r="P16" s="264">
        <f>SUM(P3:P15)</f>
        <v>433333.33333332837</v>
      </c>
      <c r="Q16" s="264">
        <f>SUM(Q3:Q15)</f>
        <v>21454999.999999996</v>
      </c>
      <c r="S16" s="264"/>
      <c r="T16" s="262"/>
      <c r="U16" s="264">
        <f>SUM(U3:U15)</f>
        <v>433333.33333332837</v>
      </c>
      <c r="V16" s="263">
        <f>SUM(V3:V15)</f>
        <v>21454999.999999996</v>
      </c>
    </row>
    <row r="18" spans="5:20" x14ac:dyDescent="0.2">
      <c r="E18" s="199" t="s">
        <v>78</v>
      </c>
      <c r="F18" s="255">
        <v>21455000</v>
      </c>
      <c r="N18" s="256"/>
    </row>
    <row r="20" spans="5:20" x14ac:dyDescent="0.2">
      <c r="E20" s="199" t="s">
        <v>75</v>
      </c>
      <c r="F20" s="256">
        <f>F16-F18</f>
        <v>-433333.33333332837</v>
      </c>
    </row>
    <row r="21" spans="5:20" x14ac:dyDescent="0.2">
      <c r="N21" s="256"/>
    </row>
    <row r="22" spans="5:20" x14ac:dyDescent="0.2">
      <c r="T22" s="25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A46B62-AC44-4A3B-9F92-F6E5B74A917A}">
  <sheetPr>
    <pageSetUpPr fitToPage="1"/>
  </sheetPr>
  <dimension ref="G1:T97"/>
  <sheetViews>
    <sheetView zoomScale="70" zoomScaleNormal="70" workbookViewId="0">
      <selection activeCell="Z5" sqref="Z5"/>
    </sheetView>
  </sheetViews>
  <sheetFormatPr defaultRowHeight="12.75" x14ac:dyDescent="0.2"/>
  <cols>
    <col min="7" max="7" width="8.85546875" style="163"/>
    <col min="8" max="11" width="9.28515625" style="145" customWidth="1"/>
    <col min="12" max="12" width="2.7109375" style="145" customWidth="1"/>
    <col min="13" max="17" width="9.28515625" style="145" customWidth="1"/>
    <col min="18" max="18" width="2.85546875" style="145" customWidth="1"/>
    <col min="19" max="19" width="12.42578125" style="145" customWidth="1"/>
  </cols>
  <sheetData>
    <row r="1" spans="7:20" s="160" customFormat="1" ht="33.75" x14ac:dyDescent="0.2">
      <c r="G1" s="162"/>
      <c r="H1" s="155" t="s">
        <v>38</v>
      </c>
      <c r="I1" s="10"/>
      <c r="J1" s="159"/>
      <c r="K1" s="145"/>
      <c r="L1" s="145"/>
      <c r="M1" s="145"/>
      <c r="N1" s="145"/>
      <c r="O1" s="145"/>
      <c r="P1" s="145"/>
      <c r="Q1" s="145"/>
      <c r="R1" s="145"/>
      <c r="S1" s="145"/>
    </row>
    <row r="2" spans="7:20" s="160" customFormat="1" ht="15.75" x14ac:dyDescent="0.2">
      <c r="G2" s="162"/>
      <c r="H2" s="161" t="s">
        <v>57</v>
      </c>
      <c r="I2" s="158"/>
      <c r="J2" s="158"/>
      <c r="K2" s="145"/>
      <c r="L2" s="145"/>
      <c r="M2" s="145"/>
      <c r="N2" s="145"/>
      <c r="O2" s="145"/>
      <c r="P2" s="145"/>
      <c r="Q2" s="145"/>
      <c r="R2" s="145"/>
      <c r="S2" s="145"/>
    </row>
    <row r="3" spans="7:20" s="160" customFormat="1" x14ac:dyDescent="0.2">
      <c r="G3" s="162"/>
      <c r="H3" s="157" t="s">
        <v>26</v>
      </c>
      <c r="I3" s="158"/>
      <c r="J3" s="158"/>
      <c r="K3" s="145"/>
      <c r="L3" s="145"/>
      <c r="M3" s="145"/>
      <c r="N3" s="145"/>
      <c r="O3" s="145"/>
      <c r="P3" s="145"/>
      <c r="Q3" s="145"/>
      <c r="R3" s="145"/>
      <c r="S3" s="145"/>
    </row>
    <row r="4" spans="7:20" s="160" customFormat="1" x14ac:dyDescent="0.2">
      <c r="G4" s="162"/>
      <c r="H4" s="157" t="s">
        <v>73</v>
      </c>
      <c r="I4" s="158"/>
      <c r="J4" s="158"/>
      <c r="K4" s="145"/>
      <c r="L4" s="145"/>
      <c r="M4" s="145"/>
      <c r="N4" s="145"/>
      <c r="O4" s="145"/>
      <c r="P4" s="145"/>
      <c r="Q4" s="145"/>
      <c r="R4" s="145"/>
      <c r="S4" s="145"/>
    </row>
    <row r="5" spans="7:20" s="160" customFormat="1" ht="22.9" customHeight="1" thickBot="1" x14ac:dyDescent="0.25">
      <c r="G5" s="162"/>
      <c r="H5" s="324" t="s">
        <v>39</v>
      </c>
      <c r="I5" s="324"/>
      <c r="J5" s="324"/>
      <c r="K5" s="324"/>
      <c r="L5" s="145"/>
      <c r="M5" s="145"/>
      <c r="N5" s="145"/>
      <c r="O5" s="145"/>
      <c r="P5" s="145"/>
      <c r="Q5" s="145"/>
      <c r="R5" s="145"/>
      <c r="S5" s="145"/>
    </row>
    <row r="6" spans="7:20" s="160" customFormat="1" ht="31.9" customHeight="1" thickBot="1" x14ac:dyDescent="0.25">
      <c r="G6" s="162"/>
      <c r="H6" s="225">
        <v>2</v>
      </c>
      <c r="I6" s="225">
        <v>3</v>
      </c>
      <c r="J6" s="225">
        <v>4</v>
      </c>
      <c r="K6" s="239">
        <v>5</v>
      </c>
      <c r="L6" s="145"/>
      <c r="M6" s="212"/>
      <c r="N6" s="209">
        <v>6</v>
      </c>
      <c r="O6" s="209">
        <v>7</v>
      </c>
      <c r="P6" s="209">
        <v>8</v>
      </c>
      <c r="Q6" s="140">
        <v>9</v>
      </c>
      <c r="R6" s="145"/>
      <c r="S6" s="70" t="s">
        <v>44</v>
      </c>
    </row>
    <row r="7" spans="7:20" s="160" customFormat="1" ht="15.75" x14ac:dyDescent="0.2">
      <c r="G7" s="224">
        <v>1</v>
      </c>
      <c r="H7" s="226">
        <v>12355</v>
      </c>
      <c r="I7" s="227">
        <v>5328</v>
      </c>
      <c r="J7" s="228">
        <v>2057</v>
      </c>
      <c r="K7" s="242">
        <v>10705</v>
      </c>
      <c r="L7" s="145"/>
      <c r="M7" s="224">
        <v>1</v>
      </c>
      <c r="N7" s="213">
        <v>13614</v>
      </c>
      <c r="O7" s="151">
        <v>40812</v>
      </c>
      <c r="P7" s="151">
        <v>7934</v>
      </c>
      <c r="Q7" s="219">
        <v>6296</v>
      </c>
      <c r="R7" s="145"/>
      <c r="S7" s="153">
        <f>S12+S19</f>
        <v>1434462</v>
      </c>
      <c r="T7" s="3" t="s">
        <v>68</v>
      </c>
    </row>
    <row r="8" spans="7:20" s="160" customFormat="1" ht="15.75" x14ac:dyDescent="0.2">
      <c r="G8" s="224">
        <v>2</v>
      </c>
      <c r="H8" s="229"/>
      <c r="I8" s="230">
        <v>5609</v>
      </c>
      <c r="J8" s="231">
        <v>1606</v>
      </c>
      <c r="K8" s="243">
        <v>93229</v>
      </c>
      <c r="L8" s="145"/>
      <c r="M8" s="224">
        <v>2</v>
      </c>
      <c r="N8" s="250">
        <v>117841</v>
      </c>
      <c r="O8" s="149">
        <v>977</v>
      </c>
      <c r="P8" s="149">
        <v>14523</v>
      </c>
      <c r="Q8" s="220">
        <v>27282</v>
      </c>
      <c r="R8" s="145"/>
      <c r="S8" s="154">
        <f>S13+S20</f>
        <v>32.930716253443528</v>
      </c>
      <c r="T8" s="3" t="s">
        <v>69</v>
      </c>
    </row>
    <row r="9" spans="7:20" s="160" customFormat="1" ht="15.75" x14ac:dyDescent="0.2">
      <c r="G9" s="224">
        <v>3</v>
      </c>
      <c r="H9" s="216">
        <v>7380</v>
      </c>
      <c r="I9" s="230">
        <v>4033</v>
      </c>
      <c r="J9" s="231">
        <v>10004</v>
      </c>
      <c r="K9" s="232">
        <v>6950</v>
      </c>
      <c r="L9" s="145"/>
      <c r="M9" s="224">
        <v>3</v>
      </c>
      <c r="N9" s="215">
        <v>2953</v>
      </c>
      <c r="O9" s="149">
        <v>20173</v>
      </c>
      <c r="P9" s="149">
        <v>6847</v>
      </c>
      <c r="Q9" s="220">
        <v>4529</v>
      </c>
      <c r="R9" s="145"/>
      <c r="S9" s="145"/>
    </row>
    <row r="10" spans="7:20" s="160" customFormat="1" ht="15.75" x14ac:dyDescent="0.2">
      <c r="G10" s="224">
        <v>4</v>
      </c>
      <c r="H10" s="229"/>
      <c r="I10" s="230">
        <v>6277</v>
      </c>
      <c r="J10" s="231">
        <v>10424</v>
      </c>
      <c r="K10" s="243">
        <v>1565</v>
      </c>
      <c r="L10" s="145"/>
      <c r="M10" s="224" t="s">
        <v>33</v>
      </c>
      <c r="N10" s="214"/>
      <c r="O10" s="149">
        <v>82314</v>
      </c>
      <c r="P10" s="148"/>
      <c r="Q10" s="221"/>
      <c r="R10" s="145"/>
      <c r="S10" s="174" t="s">
        <v>40</v>
      </c>
    </row>
    <row r="11" spans="7:20" s="160" customFormat="1" ht="15.75" x14ac:dyDescent="0.2">
      <c r="G11" s="224">
        <v>5</v>
      </c>
      <c r="H11" s="216">
        <v>5718</v>
      </c>
      <c r="I11" s="230">
        <v>9780</v>
      </c>
      <c r="J11" s="231">
        <v>15650</v>
      </c>
      <c r="K11" s="233">
        <v>1407</v>
      </c>
      <c r="L11" s="145"/>
      <c r="M11" s="224">
        <v>4</v>
      </c>
      <c r="N11" s="214"/>
      <c r="O11" s="149">
        <v>7341</v>
      </c>
      <c r="P11" s="149">
        <v>50987</v>
      </c>
      <c r="Q11" s="220">
        <v>1438</v>
      </c>
      <c r="R11" s="145"/>
      <c r="S11" s="172" t="s">
        <v>42</v>
      </c>
    </row>
    <row r="12" spans="7:20" s="160" customFormat="1" ht="15.75" x14ac:dyDescent="0.2">
      <c r="G12" s="224">
        <v>6</v>
      </c>
      <c r="H12" s="216">
        <v>751</v>
      </c>
      <c r="I12" s="230">
        <v>6248</v>
      </c>
      <c r="J12" s="230">
        <v>765</v>
      </c>
      <c r="K12" s="233">
        <v>1816</v>
      </c>
      <c r="L12" s="145"/>
      <c r="M12" s="224">
        <v>5</v>
      </c>
      <c r="N12" s="215">
        <v>9467</v>
      </c>
      <c r="O12" s="149">
        <v>2986</v>
      </c>
      <c r="P12" s="149">
        <v>1316</v>
      </c>
      <c r="Q12" s="220">
        <v>7368</v>
      </c>
      <c r="R12" s="145"/>
      <c r="S12" s="154">
        <f>H29+I29+J29+K29</f>
        <v>584886</v>
      </c>
      <c r="T12" s="3" t="s">
        <v>69</v>
      </c>
    </row>
    <row r="13" spans="7:20" s="160" customFormat="1" ht="15.6" customHeight="1" x14ac:dyDescent="0.2">
      <c r="G13" s="224">
        <v>7</v>
      </c>
      <c r="H13" s="216">
        <v>680</v>
      </c>
      <c r="I13" s="230">
        <v>7384</v>
      </c>
      <c r="J13" s="231">
        <v>5033</v>
      </c>
      <c r="K13" s="233">
        <v>3432</v>
      </c>
      <c r="L13" s="145"/>
      <c r="M13" s="224">
        <v>6</v>
      </c>
      <c r="N13" s="215">
        <v>4665</v>
      </c>
      <c r="O13" s="148"/>
      <c r="P13" s="149">
        <v>1777</v>
      </c>
      <c r="Q13" s="220">
        <v>15991</v>
      </c>
      <c r="R13" s="145"/>
      <c r="S13" s="154">
        <f>H30+I30+J30+K30</f>
        <v>13.427134986225898</v>
      </c>
      <c r="T13" s="3" t="s">
        <v>69</v>
      </c>
    </row>
    <row r="14" spans="7:20" s="160" customFormat="1" ht="15.75" x14ac:dyDescent="0.2">
      <c r="G14" s="224">
        <v>8</v>
      </c>
      <c r="H14" s="216">
        <v>6840</v>
      </c>
      <c r="I14" s="230">
        <v>10498</v>
      </c>
      <c r="J14" s="230">
        <v>750</v>
      </c>
      <c r="K14" s="233">
        <v>3421</v>
      </c>
      <c r="L14" s="145"/>
      <c r="M14" s="224">
        <v>7</v>
      </c>
      <c r="N14" s="215">
        <v>26964</v>
      </c>
      <c r="O14" s="149">
        <v>4761</v>
      </c>
      <c r="P14" s="148"/>
      <c r="Q14" s="220">
        <v>31549</v>
      </c>
      <c r="R14" s="145"/>
    </row>
    <row r="15" spans="7:20" s="160" customFormat="1" ht="15.75" x14ac:dyDescent="0.2">
      <c r="G15" s="224">
        <v>9</v>
      </c>
      <c r="H15" s="216">
        <v>9773</v>
      </c>
      <c r="I15" s="230">
        <v>12345</v>
      </c>
      <c r="J15" s="241">
        <v>2080</v>
      </c>
      <c r="K15" s="233">
        <v>4464</v>
      </c>
      <c r="L15" s="145"/>
      <c r="M15" s="224" t="s">
        <v>36</v>
      </c>
      <c r="N15" s="214"/>
      <c r="O15" s="148"/>
      <c r="P15" s="149">
        <v>58106</v>
      </c>
      <c r="Q15" s="221"/>
      <c r="R15" s="145"/>
      <c r="S15" s="145"/>
    </row>
    <row r="16" spans="7:20" s="160" customFormat="1" ht="15.75" x14ac:dyDescent="0.2">
      <c r="G16" s="224">
        <v>10</v>
      </c>
      <c r="H16" s="216">
        <v>7218</v>
      </c>
      <c r="I16" s="230">
        <v>7469</v>
      </c>
      <c r="J16" s="231">
        <v>96636</v>
      </c>
      <c r="K16" s="233">
        <v>19174</v>
      </c>
      <c r="L16" s="145"/>
      <c r="M16" s="224" t="s">
        <v>37</v>
      </c>
      <c r="N16" s="214"/>
      <c r="O16" s="148"/>
      <c r="P16" s="149">
        <v>28612</v>
      </c>
      <c r="Q16" s="221"/>
      <c r="R16" s="145"/>
      <c r="S16" s="145"/>
    </row>
    <row r="17" spans="7:20" s="160" customFormat="1" ht="15.75" x14ac:dyDescent="0.2">
      <c r="G17" s="224">
        <v>11</v>
      </c>
      <c r="H17" s="216">
        <v>2876</v>
      </c>
      <c r="I17" s="230">
        <v>9318</v>
      </c>
      <c r="J17" s="230">
        <v>4523</v>
      </c>
      <c r="K17" s="233">
        <v>2887</v>
      </c>
      <c r="L17" s="145"/>
      <c r="M17" s="224">
        <v>8</v>
      </c>
      <c r="N17" s="215">
        <v>3517</v>
      </c>
      <c r="O17" s="149">
        <v>12781</v>
      </c>
      <c r="P17" s="148"/>
      <c r="Q17" s="220">
        <v>3127</v>
      </c>
      <c r="R17" s="145"/>
      <c r="S17" s="174" t="s">
        <v>41</v>
      </c>
    </row>
    <row r="18" spans="7:20" s="160" customFormat="1" ht="15.75" x14ac:dyDescent="0.2">
      <c r="G18" s="224">
        <v>12</v>
      </c>
      <c r="H18" s="216">
        <v>1200</v>
      </c>
      <c r="I18" s="230">
        <v>7762</v>
      </c>
      <c r="J18" s="231">
        <v>14424</v>
      </c>
      <c r="K18" s="232">
        <v>2071</v>
      </c>
      <c r="L18" s="145"/>
      <c r="M18" s="224">
        <v>9</v>
      </c>
      <c r="N18" s="215">
        <v>27551</v>
      </c>
      <c r="O18" s="148"/>
      <c r="P18" s="149">
        <v>2149</v>
      </c>
      <c r="Q18" s="220">
        <v>10780</v>
      </c>
      <c r="R18" s="145"/>
      <c r="S18" s="172" t="s">
        <v>43</v>
      </c>
    </row>
    <row r="19" spans="7:20" s="160" customFormat="1" ht="15.75" x14ac:dyDescent="0.2">
      <c r="G19" s="224">
        <v>13</v>
      </c>
      <c r="H19" s="216">
        <v>22458</v>
      </c>
      <c r="I19" s="234"/>
      <c r="J19" s="231">
        <v>6429</v>
      </c>
      <c r="K19" s="232">
        <v>26777</v>
      </c>
      <c r="L19" s="145"/>
      <c r="M19" s="224">
        <v>10</v>
      </c>
      <c r="N19" s="215">
        <v>9332</v>
      </c>
      <c r="O19" s="148"/>
      <c r="P19" s="149">
        <v>6186</v>
      </c>
      <c r="Q19" s="220">
        <v>13176</v>
      </c>
      <c r="R19" s="145"/>
      <c r="S19" s="153">
        <f>N27+O27+P27+Q27</f>
        <v>849576</v>
      </c>
      <c r="T19" s="3" t="s">
        <v>68</v>
      </c>
    </row>
    <row r="20" spans="7:20" s="160" customFormat="1" ht="15.75" x14ac:dyDescent="0.2">
      <c r="G20" s="224">
        <v>14</v>
      </c>
      <c r="H20" s="229"/>
      <c r="I20" s="234"/>
      <c r="J20" s="231">
        <v>6357</v>
      </c>
      <c r="K20" s="233">
        <v>3042</v>
      </c>
      <c r="L20" s="145"/>
      <c r="M20" s="224" t="s">
        <v>34</v>
      </c>
      <c r="N20" s="214"/>
      <c r="O20" s="149">
        <v>20258</v>
      </c>
      <c r="P20" s="148"/>
      <c r="Q20" s="221"/>
      <c r="R20" s="145"/>
      <c r="S20" s="154">
        <f>N28+O28+P28+Q28</f>
        <v>19.50358126721763</v>
      </c>
      <c r="T20" s="3" t="s">
        <v>69</v>
      </c>
    </row>
    <row r="21" spans="7:20" s="160" customFormat="1" ht="15.75" x14ac:dyDescent="0.2">
      <c r="G21" s="224">
        <v>15</v>
      </c>
      <c r="H21" s="216">
        <v>3622</v>
      </c>
      <c r="I21" s="234"/>
      <c r="J21" s="234"/>
      <c r="K21" s="233">
        <v>7756</v>
      </c>
      <c r="L21" s="145"/>
      <c r="M21" s="224" t="s">
        <v>35</v>
      </c>
      <c r="N21" s="214"/>
      <c r="O21" s="244">
        <v>28728</v>
      </c>
      <c r="P21" s="148"/>
      <c r="Q21" s="221"/>
      <c r="R21" s="145"/>
    </row>
    <row r="22" spans="7:20" s="160" customFormat="1" ht="15.75" x14ac:dyDescent="0.2">
      <c r="G22" s="224">
        <v>16</v>
      </c>
      <c r="H22" s="216">
        <v>1535</v>
      </c>
      <c r="I22" s="234"/>
      <c r="J22" s="234"/>
      <c r="K22" s="235"/>
      <c r="L22" s="145"/>
      <c r="M22" s="224">
        <v>11</v>
      </c>
      <c r="N22" s="215">
        <v>3752</v>
      </c>
      <c r="O22" s="149">
        <v>7385</v>
      </c>
      <c r="P22" s="149">
        <v>3251</v>
      </c>
      <c r="Q22" s="221"/>
      <c r="R22" s="145"/>
      <c r="S22" s="145"/>
    </row>
    <row r="23" spans="7:20" s="160" customFormat="1" ht="15.75" x14ac:dyDescent="0.2">
      <c r="G23" s="224">
        <v>17</v>
      </c>
      <c r="H23" s="216">
        <v>6337</v>
      </c>
      <c r="I23" s="234"/>
      <c r="J23" s="234"/>
      <c r="K23" s="235"/>
      <c r="L23" s="145"/>
      <c r="M23" s="224">
        <v>12</v>
      </c>
      <c r="N23" s="215">
        <v>21001</v>
      </c>
      <c r="O23" s="149">
        <v>5927</v>
      </c>
      <c r="P23" s="149">
        <v>4928</v>
      </c>
      <c r="Q23" s="220">
        <v>16011</v>
      </c>
      <c r="R23" s="145"/>
      <c r="S23" s="145"/>
    </row>
    <row r="24" spans="7:20" s="160" customFormat="1" ht="16.5" thickBot="1" x14ac:dyDescent="0.25">
      <c r="G24" s="224">
        <v>18</v>
      </c>
      <c r="H24" s="216">
        <v>2477</v>
      </c>
      <c r="I24" s="234"/>
      <c r="J24" s="234"/>
      <c r="K24" s="235"/>
      <c r="L24" s="145"/>
      <c r="M24" s="224">
        <v>13</v>
      </c>
      <c r="N24" s="217">
        <v>13657</v>
      </c>
      <c r="O24" s="148"/>
      <c r="P24" s="149">
        <v>15426</v>
      </c>
      <c r="Q24" s="220">
        <v>7357</v>
      </c>
      <c r="R24" s="145"/>
      <c r="S24" s="223" t="s">
        <v>47</v>
      </c>
    </row>
    <row r="25" spans="7:20" s="160" customFormat="1" ht="15.75" x14ac:dyDescent="0.2">
      <c r="G25" s="224">
        <v>19</v>
      </c>
      <c r="H25" s="216">
        <v>24222</v>
      </c>
      <c r="I25" s="234"/>
      <c r="J25" s="234"/>
      <c r="K25" s="235"/>
      <c r="L25" s="145"/>
      <c r="M25" s="224">
        <v>14</v>
      </c>
      <c r="N25" s="214"/>
      <c r="O25" s="148"/>
      <c r="P25" s="149">
        <v>1987</v>
      </c>
      <c r="Q25" s="220">
        <v>8096</v>
      </c>
      <c r="R25" s="145"/>
      <c r="S25" s="211" t="s">
        <v>45</v>
      </c>
      <c r="T25" s="166">
        <v>11.04</v>
      </c>
    </row>
    <row r="26" spans="7:20" s="160" customFormat="1" ht="16.5" thickBot="1" x14ac:dyDescent="0.25">
      <c r="G26" s="224">
        <v>20</v>
      </c>
      <c r="H26" s="216">
        <v>7055</v>
      </c>
      <c r="I26" s="234"/>
      <c r="J26" s="234"/>
      <c r="K26" s="235"/>
      <c r="L26" s="145"/>
      <c r="M26" s="224">
        <v>15</v>
      </c>
      <c r="N26" s="218"/>
      <c r="O26" s="150"/>
      <c r="P26" s="152">
        <v>3790</v>
      </c>
      <c r="Q26" s="222"/>
      <c r="R26" s="145"/>
      <c r="S26" s="208" t="s">
        <v>46</v>
      </c>
      <c r="T26" s="167">
        <f>5.75+0.03</f>
        <v>5.78</v>
      </c>
    </row>
    <row r="27" spans="7:20" s="160" customFormat="1" ht="15.75" x14ac:dyDescent="0.2">
      <c r="G27" s="224">
        <v>21</v>
      </c>
      <c r="H27" s="216">
        <v>2504</v>
      </c>
      <c r="I27" s="234"/>
      <c r="J27" s="234"/>
      <c r="K27" s="235"/>
      <c r="L27" s="145"/>
      <c r="M27" s="168" t="s">
        <v>31</v>
      </c>
      <c r="N27" s="146">
        <f>SUM(N7:N26)</f>
        <v>254314</v>
      </c>
      <c r="O27" s="146">
        <f>SUM(O7:O26)</f>
        <v>234443</v>
      </c>
      <c r="P27" s="146">
        <f>SUM(P7:P26)</f>
        <v>207819</v>
      </c>
      <c r="Q27" s="146">
        <f>SUM(Q7:Q26)</f>
        <v>153000</v>
      </c>
      <c r="R27" s="145"/>
      <c r="S27" s="145"/>
      <c r="T27" s="164">
        <f>SUM(T25:T26)</f>
        <v>16.82</v>
      </c>
    </row>
    <row r="28" spans="7:20" s="160" customFormat="1" ht="16.5" thickBot="1" x14ac:dyDescent="0.25">
      <c r="G28" s="224">
        <v>22</v>
      </c>
      <c r="H28" s="236">
        <v>2400</v>
      </c>
      <c r="I28" s="237"/>
      <c r="J28" s="237"/>
      <c r="K28" s="238"/>
      <c r="L28" s="145"/>
      <c r="M28" s="168" t="s">
        <v>32</v>
      </c>
      <c r="N28" s="245">
        <f>N27/43560</f>
        <v>5.8382460973370067</v>
      </c>
      <c r="O28" s="245">
        <f t="shared" ref="O28:Q28" si="0">O27/43560</f>
        <v>5.3820707070707074</v>
      </c>
      <c r="P28" s="245">
        <f t="shared" si="0"/>
        <v>4.7708677685950409</v>
      </c>
      <c r="Q28" s="245">
        <f t="shared" si="0"/>
        <v>3.5123966942148761</v>
      </c>
      <c r="R28" s="145"/>
      <c r="S28" s="145"/>
    </row>
    <row r="29" spans="7:20" s="160" customFormat="1" x14ac:dyDescent="0.2">
      <c r="G29" s="168" t="s">
        <v>31</v>
      </c>
      <c r="H29" s="146">
        <f>SUM(H7:H28)</f>
        <v>127401</v>
      </c>
      <c r="I29" s="146">
        <f>SUM(I7:I28)</f>
        <v>92051</v>
      </c>
      <c r="J29" s="146">
        <f>SUM(J7:J28)</f>
        <v>176738</v>
      </c>
      <c r="K29" s="146">
        <f>SUM(K7:K28)</f>
        <v>188696</v>
      </c>
      <c r="L29" s="145"/>
      <c r="M29" s="145"/>
      <c r="N29" s="145"/>
      <c r="O29" s="145"/>
      <c r="P29" s="145"/>
      <c r="Q29" s="145"/>
      <c r="R29" s="145"/>
      <c r="S29" s="240" t="s">
        <v>70</v>
      </c>
      <c r="T29" s="165">
        <f>T27+S8</f>
        <v>49.750716253443528</v>
      </c>
    </row>
    <row r="30" spans="7:20" s="160" customFormat="1" x14ac:dyDescent="0.2">
      <c r="G30" s="168" t="s">
        <v>32</v>
      </c>
      <c r="H30" s="245">
        <f>H29/43560</f>
        <v>2.9247245179063359</v>
      </c>
      <c r="I30" s="245">
        <f t="shared" ref="I30:K30" si="1">I29/43560</f>
        <v>2.1132001836547292</v>
      </c>
      <c r="J30" s="245">
        <f t="shared" si="1"/>
        <v>4.0573461891643712</v>
      </c>
      <c r="K30" s="245">
        <f t="shared" si="1"/>
        <v>4.3318640955004595</v>
      </c>
      <c r="L30" s="145"/>
      <c r="M30" s="145"/>
      <c r="N30" s="145"/>
      <c r="O30" s="145"/>
      <c r="P30" s="145"/>
      <c r="Q30" s="145"/>
      <c r="R30" s="145"/>
    </row>
    <row r="31" spans="7:20" s="160" customFormat="1" x14ac:dyDescent="0.2">
      <c r="L31" s="145"/>
      <c r="M31" s="145"/>
      <c r="N31" s="145"/>
      <c r="O31" s="145"/>
      <c r="P31" s="145"/>
      <c r="Q31" s="145"/>
      <c r="R31" s="145"/>
    </row>
    <row r="32" spans="7:20" s="160" customFormat="1" x14ac:dyDescent="0.2">
      <c r="L32" s="145"/>
      <c r="M32" s="145"/>
      <c r="N32" s="145"/>
      <c r="O32" s="145"/>
      <c r="P32" s="145"/>
      <c r="Q32" s="145"/>
      <c r="R32" s="145"/>
      <c r="S32" s="145"/>
    </row>
    <row r="33" spans="7:19" s="160" customFormat="1" x14ac:dyDescent="0.2">
      <c r="G33" s="156"/>
      <c r="H33" s="147"/>
      <c r="I33" s="147"/>
      <c r="J33" s="147"/>
      <c r="K33" s="147"/>
      <c r="L33" s="145"/>
      <c r="M33" s="145"/>
      <c r="N33" s="145"/>
      <c r="O33" s="145"/>
      <c r="P33" s="145"/>
      <c r="Q33" s="145"/>
      <c r="R33" s="145"/>
      <c r="S33" s="145"/>
    </row>
    <row r="34" spans="7:19" s="160" customFormat="1" ht="33.6" customHeight="1" x14ac:dyDescent="0.2">
      <c r="G34" s="162"/>
      <c r="H34" s="145"/>
      <c r="I34" s="145"/>
      <c r="J34" s="145"/>
      <c r="K34" s="145"/>
      <c r="L34" s="145"/>
      <c r="M34" s="145"/>
      <c r="N34" s="145"/>
      <c r="O34" s="145"/>
      <c r="P34" s="145"/>
      <c r="Q34" s="145"/>
      <c r="R34" s="145"/>
      <c r="S34" s="145"/>
    </row>
    <row r="35" spans="7:19" s="160" customFormat="1" ht="18" x14ac:dyDescent="0.2">
      <c r="L35" s="325"/>
      <c r="M35" s="325"/>
      <c r="N35" s="325"/>
      <c r="O35" s="325"/>
      <c r="P35" s="325"/>
      <c r="Q35" s="325"/>
      <c r="R35" s="325"/>
      <c r="S35" s="325"/>
    </row>
    <row r="36" spans="7:19" s="160" customFormat="1" ht="15.6" customHeight="1" x14ac:dyDescent="0.2">
      <c r="L36" s="153"/>
      <c r="M36" s="153"/>
      <c r="N36" s="153"/>
      <c r="O36" s="153"/>
      <c r="P36" s="153"/>
      <c r="Q36" s="153"/>
      <c r="R36" s="153"/>
      <c r="S36" s="326"/>
    </row>
    <row r="37" spans="7:19" s="160" customFormat="1" x14ac:dyDescent="0.2">
      <c r="L37" s="153"/>
      <c r="M37" s="153"/>
      <c r="N37" s="153"/>
      <c r="O37" s="153"/>
      <c r="P37" s="153"/>
      <c r="Q37" s="153"/>
      <c r="R37" s="153"/>
      <c r="S37" s="326"/>
    </row>
    <row r="38" spans="7:19" s="160" customFormat="1" x14ac:dyDescent="0.2">
      <c r="L38" s="153"/>
      <c r="M38" s="153"/>
      <c r="N38" s="153"/>
      <c r="O38" s="153"/>
      <c r="P38" s="153"/>
      <c r="Q38" s="153"/>
      <c r="R38" s="153"/>
    </row>
    <row r="39" spans="7:19" s="160" customFormat="1" x14ac:dyDescent="0.2">
      <c r="L39" s="153"/>
      <c r="M39" s="153"/>
      <c r="N39" s="153"/>
      <c r="O39" s="153"/>
      <c r="P39" s="153"/>
      <c r="Q39" s="153"/>
      <c r="R39" s="153"/>
    </row>
    <row r="40" spans="7:19" s="160" customFormat="1" x14ac:dyDescent="0.2">
      <c r="L40" s="153"/>
      <c r="M40" s="153"/>
      <c r="N40" s="153"/>
      <c r="O40" s="153"/>
      <c r="P40" s="153"/>
      <c r="Q40" s="153"/>
      <c r="R40" s="153"/>
    </row>
    <row r="41" spans="7:19" s="160" customFormat="1" x14ac:dyDescent="0.2">
      <c r="L41" s="153"/>
      <c r="M41" s="153"/>
      <c r="N41" s="153"/>
      <c r="O41" s="153"/>
      <c r="P41" s="153"/>
      <c r="Q41" s="153"/>
      <c r="R41" s="153"/>
    </row>
    <row r="42" spans="7:19" s="160" customFormat="1" x14ac:dyDescent="0.2">
      <c r="L42" s="153"/>
      <c r="M42" s="153"/>
      <c r="N42" s="153"/>
      <c r="O42" s="153"/>
      <c r="P42" s="153"/>
      <c r="Q42" s="153"/>
      <c r="R42" s="153"/>
    </row>
    <row r="43" spans="7:19" s="160" customFormat="1" x14ac:dyDescent="0.2">
      <c r="L43" s="153"/>
      <c r="M43" s="153"/>
      <c r="N43" s="153"/>
      <c r="O43" s="153"/>
      <c r="P43" s="153"/>
      <c r="Q43" s="153"/>
      <c r="R43" s="153"/>
    </row>
    <row r="44" spans="7:19" s="160" customFormat="1" x14ac:dyDescent="0.2">
      <c r="L44" s="153"/>
      <c r="M44" s="153"/>
      <c r="N44" s="153"/>
      <c r="O44" s="153"/>
      <c r="P44" s="153"/>
      <c r="Q44" s="153"/>
      <c r="R44" s="153"/>
    </row>
    <row r="45" spans="7:19" s="160" customFormat="1" x14ac:dyDescent="0.2">
      <c r="L45" s="153"/>
      <c r="M45" s="153"/>
      <c r="N45" s="153"/>
      <c r="O45" s="153"/>
      <c r="P45" s="153"/>
      <c r="Q45" s="153"/>
      <c r="R45" s="153"/>
    </row>
    <row r="46" spans="7:19" s="160" customFormat="1" x14ac:dyDescent="0.2">
      <c r="L46" s="153"/>
      <c r="M46" s="153"/>
      <c r="N46" s="153"/>
      <c r="O46" s="153"/>
      <c r="P46" s="153"/>
      <c r="Q46" s="153"/>
      <c r="R46" s="153"/>
    </row>
    <row r="47" spans="7:19" s="160" customFormat="1" x14ac:dyDescent="0.2">
      <c r="L47" s="153"/>
      <c r="M47" s="153"/>
      <c r="N47" s="153"/>
      <c r="O47" s="153"/>
      <c r="P47" s="153"/>
      <c r="Q47" s="153"/>
      <c r="R47" s="153"/>
    </row>
    <row r="48" spans="7:19" s="160" customFormat="1" x14ac:dyDescent="0.2">
      <c r="L48" s="153"/>
      <c r="M48" s="153"/>
      <c r="N48" s="153"/>
      <c r="O48" s="153"/>
      <c r="P48" s="153"/>
      <c r="Q48" s="153"/>
      <c r="R48" s="153"/>
      <c r="S48" s="153"/>
    </row>
    <row r="49" spans="7:19" s="160" customFormat="1" x14ac:dyDescent="0.2">
      <c r="L49" s="153"/>
      <c r="M49" s="153"/>
      <c r="N49" s="153"/>
      <c r="O49" s="153"/>
      <c r="P49" s="153"/>
      <c r="Q49" s="153"/>
      <c r="R49" s="153"/>
      <c r="S49" s="153"/>
    </row>
    <row r="50" spans="7:19" s="160" customFormat="1" x14ac:dyDescent="0.2">
      <c r="L50" s="153"/>
      <c r="M50" s="153"/>
      <c r="N50" s="153"/>
      <c r="O50" s="153"/>
      <c r="P50" s="153"/>
      <c r="Q50" s="153"/>
      <c r="R50" s="153"/>
      <c r="S50" s="153"/>
    </row>
    <row r="51" spans="7:19" s="160" customFormat="1" x14ac:dyDescent="0.2">
      <c r="L51" s="153"/>
      <c r="M51" s="153"/>
      <c r="N51" s="153"/>
      <c r="O51" s="153"/>
      <c r="P51" s="153"/>
      <c r="Q51" s="153"/>
      <c r="R51" s="153"/>
      <c r="S51" s="153"/>
    </row>
    <row r="52" spans="7:19" s="160" customFormat="1" x14ac:dyDescent="0.2">
      <c r="L52" s="153"/>
      <c r="M52" s="153"/>
      <c r="N52" s="153"/>
      <c r="O52" s="153"/>
      <c r="P52" s="153"/>
      <c r="Q52" s="153"/>
      <c r="R52" s="153"/>
      <c r="S52" s="153"/>
    </row>
    <row r="53" spans="7:19" s="160" customFormat="1" x14ac:dyDescent="0.2">
      <c r="L53" s="153"/>
      <c r="M53" s="153"/>
      <c r="N53" s="153"/>
      <c r="O53" s="153"/>
      <c r="P53" s="153"/>
      <c r="Q53" s="153"/>
      <c r="R53" s="153"/>
      <c r="S53" s="153"/>
    </row>
    <row r="54" spans="7:19" s="160" customFormat="1" x14ac:dyDescent="0.2">
      <c r="L54" s="153"/>
      <c r="M54" s="153"/>
      <c r="N54" s="153"/>
      <c r="O54" s="153"/>
      <c r="P54" s="153"/>
      <c r="Q54" s="153"/>
      <c r="R54" s="153"/>
      <c r="S54" s="153"/>
    </row>
    <row r="55" spans="7:19" s="160" customFormat="1" x14ac:dyDescent="0.2">
      <c r="L55" s="153"/>
      <c r="M55" s="153"/>
      <c r="N55" s="153"/>
      <c r="O55" s="153"/>
      <c r="P55" s="153"/>
      <c r="Q55" s="153"/>
      <c r="R55" s="153"/>
      <c r="S55" s="153"/>
    </row>
    <row r="56" spans="7:19" s="160" customFormat="1" x14ac:dyDescent="0.2">
      <c r="L56" s="153"/>
      <c r="M56" s="153"/>
      <c r="N56" s="153"/>
      <c r="O56" s="153"/>
      <c r="P56" s="153"/>
      <c r="Q56" s="153"/>
      <c r="R56" s="153"/>
      <c r="S56" s="153"/>
    </row>
    <row r="57" spans="7:19" s="160" customFormat="1" x14ac:dyDescent="0.2">
      <c r="L57" s="147"/>
      <c r="M57" s="147"/>
      <c r="N57" s="147"/>
      <c r="O57" s="147"/>
      <c r="P57" s="147"/>
      <c r="Q57" s="147"/>
      <c r="R57" s="147"/>
      <c r="S57" s="147"/>
    </row>
    <row r="58" spans="7:19" s="160" customFormat="1" x14ac:dyDescent="0.2">
      <c r="G58" s="156"/>
      <c r="H58" s="147"/>
      <c r="I58" s="147"/>
      <c r="J58" s="147"/>
      <c r="K58" s="147"/>
      <c r="L58" s="147"/>
      <c r="M58" s="147"/>
      <c r="N58" s="147"/>
      <c r="O58" s="147"/>
      <c r="P58" s="147"/>
      <c r="Q58" s="147"/>
      <c r="R58" s="147"/>
      <c r="S58" s="147"/>
    </row>
    <row r="59" spans="7:19" s="160" customFormat="1" x14ac:dyDescent="0.2">
      <c r="G59" s="162"/>
      <c r="H59" s="145"/>
      <c r="I59" s="145"/>
      <c r="J59" s="145"/>
      <c r="K59" s="145"/>
      <c r="L59" s="145"/>
      <c r="M59" s="145"/>
      <c r="N59" s="145"/>
      <c r="O59" s="145"/>
      <c r="P59" s="145"/>
      <c r="Q59" s="145"/>
      <c r="R59" s="145"/>
      <c r="S59" s="145"/>
    </row>
    <row r="60" spans="7:19" s="160" customFormat="1" x14ac:dyDescent="0.2">
      <c r="G60" s="162"/>
      <c r="H60" s="145"/>
      <c r="I60" s="145"/>
      <c r="J60" s="145"/>
      <c r="K60" s="145"/>
      <c r="L60" s="145"/>
      <c r="M60" s="145"/>
      <c r="N60" s="145"/>
      <c r="O60" s="145"/>
      <c r="P60" s="145"/>
      <c r="Q60" s="145"/>
      <c r="R60" s="145"/>
      <c r="S60" s="145"/>
    </row>
    <row r="61" spans="7:19" s="160" customFormat="1" x14ac:dyDescent="0.2">
      <c r="G61" s="162"/>
      <c r="H61" s="145"/>
      <c r="I61" s="145"/>
      <c r="J61" s="145"/>
      <c r="K61" s="145"/>
      <c r="L61" s="145"/>
      <c r="M61" s="145"/>
      <c r="N61" s="145"/>
      <c r="O61" s="145"/>
      <c r="P61" s="145"/>
      <c r="Q61" s="145"/>
      <c r="R61" s="145"/>
      <c r="S61" s="145"/>
    </row>
    <row r="62" spans="7:19" s="160" customFormat="1" x14ac:dyDescent="0.2">
      <c r="G62" s="162"/>
      <c r="H62" s="145"/>
      <c r="I62" s="145"/>
      <c r="J62" s="145"/>
      <c r="K62" s="145"/>
      <c r="L62" s="145"/>
      <c r="M62" s="145"/>
      <c r="N62" s="145"/>
      <c r="O62" s="145"/>
      <c r="P62" s="145"/>
      <c r="Q62" s="145"/>
      <c r="R62" s="145"/>
      <c r="S62" s="145"/>
    </row>
    <row r="84" spans="19:19" x14ac:dyDescent="0.2">
      <c r="S84" s="174" t="s">
        <v>63</v>
      </c>
    </row>
    <row r="85" spans="19:19" ht="15.75" thickBot="1" x14ac:dyDescent="0.25">
      <c r="S85" s="210" t="s">
        <v>48</v>
      </c>
    </row>
    <row r="86" spans="19:19" x14ac:dyDescent="0.2">
      <c r="S86" s="211" t="s">
        <v>45</v>
      </c>
    </row>
    <row r="87" spans="19:19" x14ac:dyDescent="0.2">
      <c r="S87" s="206" t="s">
        <v>49</v>
      </c>
    </row>
    <row r="88" spans="19:19" x14ac:dyDescent="0.2">
      <c r="S88" s="206" t="s">
        <v>50</v>
      </c>
    </row>
    <row r="89" spans="19:19" x14ac:dyDescent="0.2">
      <c r="S89" s="206" t="s">
        <v>51</v>
      </c>
    </row>
    <row r="90" spans="19:19" x14ac:dyDescent="0.2">
      <c r="S90" s="206" t="s">
        <v>52</v>
      </c>
    </row>
    <row r="91" spans="19:19" x14ac:dyDescent="0.2">
      <c r="S91" s="206" t="s">
        <v>53</v>
      </c>
    </row>
    <row r="92" spans="19:19" x14ac:dyDescent="0.2">
      <c r="S92" s="206" t="s">
        <v>54</v>
      </c>
    </row>
    <row r="93" spans="19:19" x14ac:dyDescent="0.2">
      <c r="S93" s="206" t="s">
        <v>55</v>
      </c>
    </row>
    <row r="94" spans="19:19" x14ac:dyDescent="0.2">
      <c r="S94" s="206" t="s">
        <v>56</v>
      </c>
    </row>
    <row r="95" spans="19:19" ht="13.5" thickBot="1" x14ac:dyDescent="0.25">
      <c r="S95" s="207" t="s">
        <v>46</v>
      </c>
    </row>
    <row r="96" spans="19:19" x14ac:dyDescent="0.2">
      <c r="S96" s="153"/>
    </row>
    <row r="97" spans="19:19" x14ac:dyDescent="0.2">
      <c r="S97" s="153"/>
    </row>
  </sheetData>
  <mergeCells count="3">
    <mergeCell ref="H5:K5"/>
    <mergeCell ref="L35:S35"/>
    <mergeCell ref="S36:S37"/>
  </mergeCells>
  <pageMargins left="0.7" right="0.7" top="0.5" bottom="0.25" header="0" footer="0"/>
  <pageSetup scale="5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Study 12p 05Oct26</vt:lpstr>
      <vt:lpstr>12p OS Calcs 05Oct26</vt:lpstr>
      <vt:lpstr>12p Open Space 05Oct26</vt:lpstr>
      <vt:lpstr>'12p Open Space 05Oct26'!Print_Area</vt:lpstr>
      <vt:lpstr>'Study 12p 05Oct26'!Print_Area</vt:lpstr>
    </vt:vector>
  </TitlesOfParts>
  <Company>Calthorpe Associates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Clark</dc:creator>
  <cp:lastModifiedBy>Gary Langston</cp:lastModifiedBy>
  <cp:lastPrinted>2026-10-05T23:06:49Z</cp:lastPrinted>
  <dcterms:created xsi:type="dcterms:W3CDTF">2003-02-20T19:04:50Z</dcterms:created>
  <dcterms:modified xsi:type="dcterms:W3CDTF">2026-10-07T20:32:30Z</dcterms:modified>
</cp:coreProperties>
</file>