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pivotTables/pivotTable4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01758\Downloads\"/>
    </mc:Choice>
  </mc:AlternateContent>
  <xr:revisionPtr revIDLastSave="0" documentId="13_ncr:1_{86027A7B-45DB-42D3-A7FB-0BCAAF7945D9}" xr6:coauthVersionLast="47" xr6:coauthVersionMax="47" xr10:uidLastSave="{00000000-0000-0000-0000-000000000000}"/>
  <bookViews>
    <workbookView xWindow="-28920" yWindow="-120" windowWidth="29040" windowHeight="15720" firstSheet="2" activeTab="7" xr2:uid="{00000000-000D-0000-FFFF-FFFF00000000}"/>
  </bookViews>
  <sheets>
    <sheet name="Budget Summary" sheetId="27" r:id="rId1"/>
    <sheet name="27 Proposed Budget by Dept" sheetId="28" r:id="rId2"/>
    <sheet name="Budget State 27 Proposed" sheetId="29" r:id="rId3"/>
    <sheet name="26 Amended Budget by Dept" sheetId="30" r:id="rId4"/>
    <sheet name="Budget State 26 Amended" sheetId="31" r:id="rId5"/>
    <sheet name="COA" sheetId="22" r:id="rId6"/>
    <sheet name="Data (TB)" sheetId="2" r:id="rId7"/>
    <sheet name="Budget Data from FS" sheetId="33" r:id="rId8"/>
    <sheet name="Pivot Summary" sheetId="19" r:id="rId9"/>
    <sheet name="Master Budget" sheetId="7" r:id="rId10"/>
    <sheet name="Budget Worksheet" sheetId="1" r:id="rId11"/>
    <sheet name="Debt Summary" sheetId="32" r:id="rId12"/>
    <sheet name="2027 Salaries and Benefits" sheetId="23" r:id="rId13"/>
    <sheet name="27 Capital Budget" sheetId="24" r:id="rId14"/>
    <sheet name="Dave" sheetId="10" r:id="rId15"/>
    <sheet name="Chris" sheetId="11" r:id="rId16"/>
    <sheet name="CHRIS NEW" sheetId="25" r:id="rId17"/>
    <sheet name="2026 Salaries and Benefits" sheetId="21" r:id="rId18"/>
    <sheet name="Grant and Loan Budget" sheetId="14" r:id="rId19"/>
    <sheet name="26 Capital Budget" sheetId="20" r:id="rId20"/>
    <sheet name="25 Capital Budget" sheetId="13" r:id="rId21"/>
    <sheet name="2025 Salaries and Benefits" sheetId="12" r:id="rId22"/>
    <sheet name="24 Capital Budget" sheetId="6" r:id="rId23"/>
    <sheet name="Summary" sheetId="8" r:id="rId24"/>
    <sheet name="2024 Salaries and Benefits" sheetId="5" r:id="rId25"/>
    <sheet name="2023 Salaries and Benefits" sheetId="3" r:id="rId26"/>
    <sheet name="23 Capital Budget" sheetId="4" r:id="rId27"/>
  </sheets>
  <definedNames>
    <definedName name="_xlnm._FilterDatabase" localSheetId="7" hidden="1">'Budget Data from FS'!$A$2:$N$388</definedName>
    <definedName name="_xlnm._FilterDatabase" localSheetId="10" hidden="1">'Budget Worksheet'!$A$4:$X$234</definedName>
    <definedName name="_xlnm._FilterDatabase" localSheetId="15" hidden="1">Chris!$A$3:$P$151</definedName>
    <definedName name="_xlnm._FilterDatabase" localSheetId="16" hidden="1">'CHRIS NEW'!$A$3:$H$150</definedName>
    <definedName name="_xlnm._FilterDatabase" localSheetId="6" hidden="1">'Data (TB)'!$A$5:$M$554</definedName>
    <definedName name="_xlnm._FilterDatabase" localSheetId="14" hidden="1">Dave!$A$4:$Q$224</definedName>
    <definedName name="_xlnm._FilterDatabase" localSheetId="9" hidden="1">'Master Budget'!$A$3:$S$360</definedName>
    <definedName name="AS2DocOpenMode" hidden="1">"AS2DocumentEdit"</definedName>
    <definedName name="_xlnm.Print_Area" localSheetId="25">'2023 Salaries and Benefits'!$A$1:$H$62</definedName>
    <definedName name="_xlnm.Print_Area" localSheetId="24">'2024 Salaries and Benefits'!$A$1:$H$65</definedName>
    <definedName name="_xlnm.Print_Area" localSheetId="21">'2025 Salaries and Benefits'!$A$1:$H$68</definedName>
    <definedName name="_xlnm.Print_Area" localSheetId="17">'2026 Salaries and Benefits'!$A$1:$H$68</definedName>
    <definedName name="_xlnm.Print_Area" localSheetId="12">'2027 Salaries and Benefits'!$A$1:$H$66</definedName>
    <definedName name="_xlnm.Print_Area" localSheetId="22">'24 Capital Budget'!$A:$G</definedName>
    <definedName name="_xlnm.Print_Area" localSheetId="20">'25 Capital Budget'!$A$1:$I$62</definedName>
    <definedName name="_xlnm.Print_Area" localSheetId="3">'26 Amended Budget by Dept'!$B$1:$T$36</definedName>
    <definedName name="_xlnm.Print_Area" localSheetId="19">'26 Capital Budget'!$A$1:$J$63</definedName>
    <definedName name="_xlnm.Print_Area" localSheetId="13">'27 Capital Budget'!$A$1:$L$68</definedName>
    <definedName name="_xlnm.Print_Area" localSheetId="1">'27 Proposed Budget by Dept'!$B$1:$T$36</definedName>
    <definedName name="_xlnm.Print_Area" localSheetId="4">'Budget State 26 Amended'!$D$6:$I$40</definedName>
    <definedName name="_xlnm.Print_Area" localSheetId="2">'Budget State 27 Proposed'!$D$6:$I$40</definedName>
    <definedName name="_xlnm.Print_Area" localSheetId="0">'Budget Summary'!$AF$6:$AV$31</definedName>
    <definedName name="_xlnm.Print_Area" localSheetId="9">'Master Budget'!$F$3:$N$354</definedName>
    <definedName name="_xlnm.Print_Area" localSheetId="23">Summary!$A:$G</definedName>
    <definedName name="_xlnm.Print_Titles" localSheetId="3">'26 Amended Budget by Dept'!$4:$5</definedName>
    <definedName name="_xlnm.Print_Titles" localSheetId="1">'27 Proposed Budget by Dept'!$4:$5</definedName>
    <definedName name="_xlnm.Print_Titles" localSheetId="4">'Budget State 26 Amended'!$B:$B,'Budget State 26 Amended'!$1:$5</definedName>
    <definedName name="_xlnm.Print_Titles" localSheetId="2">'Budget State 27 Proposed'!$B:$B,'Budget State 27 Proposed'!$1:$5</definedName>
    <definedName name="_xlnm.Print_Titles" localSheetId="0">'Budget Summary'!$B:$B,'Budget Summary'!$1:$5</definedName>
    <definedName name="_xlnm.Print_Titles" localSheetId="10">'Budget Worksheet'!$3:$4</definedName>
    <definedName name="_xlnm.Print_Titles" localSheetId="9">'Master Budget'!$3:$3</definedName>
    <definedName name="PRINTALL">#REF!</definedName>
    <definedName name="PRINTBALSHALL">#REF!</definedName>
    <definedName name="PRINTRESTRICTED">#REF!</definedName>
  </definedNames>
  <calcPr calcId="191028"/>
  <pivotCaches>
    <pivotCache cacheId="88" r:id="rId28"/>
    <pivotCache cacheId="94" r:id="rId2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8" i="25" l="1"/>
  <c r="H67" i="25"/>
  <c r="G67" i="25"/>
  <c r="G68" i="25"/>
  <c r="H51" i="10"/>
  <c r="G51" i="10"/>
  <c r="H50" i="10"/>
  <c r="G50" i="10"/>
  <c r="F38" i="32"/>
  <c r="F37" i="32"/>
  <c r="F36" i="32"/>
  <c r="F35" i="32"/>
  <c r="F34" i="32"/>
  <c r="F33" i="32"/>
  <c r="E38" i="32"/>
  <c r="E37" i="32"/>
  <c r="E36" i="32"/>
  <c r="E35" i="32"/>
  <c r="E34" i="32"/>
  <c r="E33" i="32"/>
  <c r="F388" i="33"/>
  <c r="F387" i="33"/>
  <c r="F386" i="33"/>
  <c r="F385" i="33"/>
  <c r="F384" i="33"/>
  <c r="F383" i="33"/>
  <c r="F382" i="33"/>
  <c r="F381" i="33"/>
  <c r="F380" i="33"/>
  <c r="F379" i="33"/>
  <c r="F378" i="33"/>
  <c r="F377" i="33"/>
  <c r="F376" i="33"/>
  <c r="F375" i="33"/>
  <c r="F374" i="33"/>
  <c r="F373" i="33"/>
  <c r="F372" i="33"/>
  <c r="F371" i="33"/>
  <c r="F370" i="33"/>
  <c r="F369" i="33"/>
  <c r="F368" i="33"/>
  <c r="F367" i="33"/>
  <c r="F366" i="33"/>
  <c r="F365" i="33"/>
  <c r="F364" i="33"/>
  <c r="F363" i="33"/>
  <c r="F362" i="33"/>
  <c r="F361" i="33"/>
  <c r="F360" i="33"/>
  <c r="F359" i="33"/>
  <c r="F358" i="33"/>
  <c r="F357" i="33"/>
  <c r="F356" i="33"/>
  <c r="F355" i="33"/>
  <c r="F354" i="33"/>
  <c r="F353" i="33"/>
  <c r="F352" i="33"/>
  <c r="F351" i="33"/>
  <c r="F350" i="33"/>
  <c r="F349" i="33"/>
  <c r="F348" i="33"/>
  <c r="F347" i="33"/>
  <c r="F346" i="33"/>
  <c r="F345" i="33"/>
  <c r="F344" i="33"/>
  <c r="F343" i="33"/>
  <c r="F342" i="33"/>
  <c r="F341" i="33"/>
  <c r="F340" i="33"/>
  <c r="F339" i="33"/>
  <c r="F338" i="33"/>
  <c r="F337" i="33"/>
  <c r="F336" i="33"/>
  <c r="F335" i="33"/>
  <c r="F334" i="33"/>
  <c r="F333" i="33"/>
  <c r="F332" i="33"/>
  <c r="F331" i="33"/>
  <c r="F330" i="33"/>
  <c r="F329" i="33"/>
  <c r="F328" i="33"/>
  <c r="F327" i="33"/>
  <c r="F326" i="33"/>
  <c r="F325" i="33"/>
  <c r="F324" i="33"/>
  <c r="F323" i="33"/>
  <c r="F322" i="33"/>
  <c r="F321" i="33"/>
  <c r="F320" i="33"/>
  <c r="F319" i="33"/>
  <c r="F318" i="33"/>
  <c r="F317" i="33"/>
  <c r="F316" i="33"/>
  <c r="F315" i="33"/>
  <c r="F314" i="33"/>
  <c r="F313" i="33"/>
  <c r="F312" i="33"/>
  <c r="F311" i="33"/>
  <c r="F310" i="33"/>
  <c r="F309" i="33"/>
  <c r="F308" i="33"/>
  <c r="F307" i="33"/>
  <c r="F306" i="33"/>
  <c r="F305" i="33"/>
  <c r="F304" i="33"/>
  <c r="F303" i="33"/>
  <c r="F302" i="33"/>
  <c r="F301" i="33"/>
  <c r="F300" i="33"/>
  <c r="F299" i="33"/>
  <c r="F298" i="33"/>
  <c r="F297" i="33"/>
  <c r="F296" i="33"/>
  <c r="F295" i="33"/>
  <c r="F294" i="33"/>
  <c r="F293" i="33"/>
  <c r="F292" i="33"/>
  <c r="F291" i="33"/>
  <c r="F290" i="33"/>
  <c r="F289" i="33"/>
  <c r="F288" i="33"/>
  <c r="F287" i="33"/>
  <c r="F286" i="33"/>
  <c r="F285" i="33"/>
  <c r="F284" i="33"/>
  <c r="F283" i="33"/>
  <c r="F282" i="33"/>
  <c r="F281" i="33"/>
  <c r="F280" i="33"/>
  <c r="F279" i="33"/>
  <c r="F278" i="33"/>
  <c r="F277" i="33"/>
  <c r="F276" i="33"/>
  <c r="F275" i="33"/>
  <c r="F274" i="33"/>
  <c r="F273" i="33"/>
  <c r="F272" i="33"/>
  <c r="F271" i="33"/>
  <c r="F270" i="33"/>
  <c r="F269" i="33"/>
  <c r="F268" i="33"/>
  <c r="F267" i="33"/>
  <c r="F266" i="33"/>
  <c r="F265" i="33"/>
  <c r="F264" i="33"/>
  <c r="F263" i="33"/>
  <c r="F262" i="33"/>
  <c r="F261" i="33"/>
  <c r="F260" i="33"/>
  <c r="F259" i="33"/>
  <c r="F258" i="33"/>
  <c r="F257" i="33"/>
  <c r="F256" i="33"/>
  <c r="F255" i="33"/>
  <c r="F254" i="33"/>
  <c r="F253" i="33"/>
  <c r="F252" i="33"/>
  <c r="F251" i="33"/>
  <c r="F250" i="33"/>
  <c r="F249" i="33"/>
  <c r="F248" i="33"/>
  <c r="F247" i="33"/>
  <c r="F246" i="33"/>
  <c r="F245" i="33"/>
  <c r="F244" i="33"/>
  <c r="F243" i="33"/>
  <c r="F242" i="33"/>
  <c r="F241" i="33"/>
  <c r="F240" i="33"/>
  <c r="F239" i="33"/>
  <c r="F238" i="33"/>
  <c r="F237" i="33"/>
  <c r="F236" i="33"/>
  <c r="F235" i="33"/>
  <c r="F234" i="33"/>
  <c r="F233" i="33"/>
  <c r="F232" i="33"/>
  <c r="F231" i="33"/>
  <c r="F230" i="33"/>
  <c r="F229" i="33"/>
  <c r="F228" i="33"/>
  <c r="F227" i="33"/>
  <c r="F226" i="33"/>
  <c r="F225" i="33"/>
  <c r="F224" i="33"/>
  <c r="F223" i="33"/>
  <c r="F222" i="33"/>
  <c r="F221" i="33"/>
  <c r="F220" i="33"/>
  <c r="F219" i="33"/>
  <c r="F218" i="33"/>
  <c r="F217" i="33"/>
  <c r="F216" i="33"/>
  <c r="F215" i="33"/>
  <c r="F214" i="33"/>
  <c r="F213" i="33"/>
  <c r="F212" i="33"/>
  <c r="F211" i="33"/>
  <c r="F210" i="33"/>
  <c r="F209" i="33"/>
  <c r="F208" i="33"/>
  <c r="F207" i="33"/>
  <c r="F206" i="33"/>
  <c r="F205" i="33"/>
  <c r="F204" i="33"/>
  <c r="F203" i="33"/>
  <c r="F202" i="33"/>
  <c r="F201" i="33"/>
  <c r="F200" i="33"/>
  <c r="F199" i="33"/>
  <c r="F198" i="33"/>
  <c r="F197" i="33"/>
  <c r="F196" i="33"/>
  <c r="F195" i="33"/>
  <c r="F194" i="33"/>
  <c r="F193" i="33"/>
  <c r="F192" i="33"/>
  <c r="F191" i="33"/>
  <c r="F190" i="33"/>
  <c r="F189" i="33"/>
  <c r="F188" i="33"/>
  <c r="F187" i="33"/>
  <c r="F186" i="33"/>
  <c r="F185" i="33"/>
  <c r="F184" i="33"/>
  <c r="F183" i="33"/>
  <c r="F182" i="33"/>
  <c r="F181" i="33"/>
  <c r="F180" i="33"/>
  <c r="F179" i="33"/>
  <c r="F178" i="33"/>
  <c r="F177" i="33"/>
  <c r="F176" i="33"/>
  <c r="F175" i="33"/>
  <c r="F174" i="33"/>
  <c r="F173" i="33"/>
  <c r="F172" i="33"/>
  <c r="F171" i="33"/>
  <c r="F170" i="33"/>
  <c r="F169" i="33"/>
  <c r="F168" i="33"/>
  <c r="F167" i="33"/>
  <c r="F166" i="33"/>
  <c r="F165" i="33"/>
  <c r="F164" i="33"/>
  <c r="F163" i="33"/>
  <c r="F162" i="33"/>
  <c r="F161" i="33"/>
  <c r="F160" i="33"/>
  <c r="F159" i="33"/>
  <c r="F158" i="33"/>
  <c r="F157" i="33"/>
  <c r="F156" i="33"/>
  <c r="F155" i="33"/>
  <c r="F154" i="33"/>
  <c r="F153" i="33"/>
  <c r="F152" i="33"/>
  <c r="F151" i="33"/>
  <c r="F150" i="33"/>
  <c r="F149" i="33"/>
  <c r="F148" i="33"/>
  <c r="F147" i="33"/>
  <c r="F146" i="33"/>
  <c r="F145" i="33"/>
  <c r="F144" i="33"/>
  <c r="F143" i="33"/>
  <c r="F142" i="33"/>
  <c r="F141" i="33"/>
  <c r="F140" i="33"/>
  <c r="F139" i="33"/>
  <c r="F138" i="33"/>
  <c r="F137" i="33"/>
  <c r="F136" i="33"/>
  <c r="F135" i="33"/>
  <c r="F134" i="33"/>
  <c r="F133" i="33"/>
  <c r="F132" i="33"/>
  <c r="F131" i="33"/>
  <c r="F130" i="33"/>
  <c r="F129" i="33"/>
  <c r="F128" i="33"/>
  <c r="F127" i="33"/>
  <c r="F126" i="33"/>
  <c r="F125" i="33"/>
  <c r="F124" i="33"/>
  <c r="F123" i="33"/>
  <c r="F122" i="33"/>
  <c r="F121" i="33"/>
  <c r="F120" i="33"/>
  <c r="F119" i="33"/>
  <c r="F118" i="33"/>
  <c r="F117" i="33"/>
  <c r="F116" i="33"/>
  <c r="F115" i="33"/>
  <c r="F114" i="33"/>
  <c r="F113" i="33"/>
  <c r="F112" i="33"/>
  <c r="F111" i="33"/>
  <c r="F110" i="33"/>
  <c r="F109" i="33"/>
  <c r="F108" i="33"/>
  <c r="F107" i="33"/>
  <c r="F106" i="33"/>
  <c r="F105" i="33"/>
  <c r="F104" i="33"/>
  <c r="F103" i="33"/>
  <c r="F102" i="33"/>
  <c r="F101" i="33"/>
  <c r="F100" i="33"/>
  <c r="F99" i="33"/>
  <c r="F98" i="33"/>
  <c r="F97" i="33"/>
  <c r="F96" i="33"/>
  <c r="F95" i="33"/>
  <c r="F94" i="33"/>
  <c r="F93" i="33"/>
  <c r="F92" i="33"/>
  <c r="F91" i="33"/>
  <c r="F90" i="33"/>
  <c r="F89" i="33"/>
  <c r="F88" i="33"/>
  <c r="F87" i="33"/>
  <c r="F86" i="33"/>
  <c r="F85" i="33"/>
  <c r="F84" i="33"/>
  <c r="F83" i="33"/>
  <c r="F82" i="33"/>
  <c r="F81" i="33"/>
  <c r="F80" i="33"/>
  <c r="F79" i="33"/>
  <c r="F78" i="33"/>
  <c r="F77" i="33"/>
  <c r="F76" i="33"/>
  <c r="F75" i="33"/>
  <c r="F74" i="33"/>
  <c r="F73" i="33"/>
  <c r="F72" i="33"/>
  <c r="F71" i="33"/>
  <c r="F70" i="33"/>
  <c r="F69" i="33"/>
  <c r="F68" i="33"/>
  <c r="F67" i="33"/>
  <c r="F66" i="33"/>
  <c r="F65" i="33"/>
  <c r="F64" i="33"/>
  <c r="F63" i="33"/>
  <c r="F62" i="33"/>
  <c r="F61" i="33"/>
  <c r="F60" i="33"/>
  <c r="F59" i="33"/>
  <c r="F58" i="33"/>
  <c r="F57" i="33"/>
  <c r="F56" i="33"/>
  <c r="F55" i="33"/>
  <c r="F54" i="33"/>
  <c r="F53" i="33"/>
  <c r="F52" i="33"/>
  <c r="F51" i="33"/>
  <c r="F50" i="33"/>
  <c r="F49" i="33"/>
  <c r="F48" i="33"/>
  <c r="F47" i="33"/>
  <c r="F46" i="33"/>
  <c r="F45" i="33"/>
  <c r="F44" i="33"/>
  <c r="F43" i="33"/>
  <c r="F42" i="33"/>
  <c r="F41" i="33"/>
  <c r="F40" i="33"/>
  <c r="F39" i="33"/>
  <c r="F38" i="33"/>
  <c r="F37" i="33"/>
  <c r="F36" i="33"/>
  <c r="F35" i="33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7" i="33"/>
  <c r="F6" i="33"/>
  <c r="F5" i="33"/>
  <c r="F4" i="33"/>
  <c r="F3" i="33"/>
  <c r="N375" i="33"/>
  <c r="N366" i="33"/>
  <c r="N365" i="33"/>
  <c r="N364" i="33"/>
  <c r="N363" i="33"/>
  <c r="N362" i="33"/>
  <c r="N348" i="33"/>
  <c r="N303" i="33"/>
  <c r="N299" i="33"/>
  <c r="N293" i="33"/>
  <c r="N292" i="33"/>
  <c r="N288" i="33"/>
  <c r="N287" i="33"/>
  <c r="N285" i="33"/>
  <c r="N284" i="33"/>
  <c r="N279" i="33"/>
  <c r="N278" i="33"/>
  <c r="N276" i="33"/>
  <c r="N239" i="33"/>
  <c r="N199" i="33"/>
  <c r="N193" i="33"/>
  <c r="N192" i="33"/>
  <c r="N188" i="33"/>
  <c r="N187" i="33"/>
  <c r="N185" i="33"/>
  <c r="N184" i="33"/>
  <c r="N136" i="33"/>
  <c r="N135" i="33"/>
  <c r="N132" i="33"/>
  <c r="N131" i="33"/>
  <c r="N130" i="33"/>
  <c r="N125" i="33"/>
  <c r="N124" i="33"/>
  <c r="N120" i="33"/>
  <c r="N119" i="33"/>
  <c r="N41" i="33"/>
  <c r="N30" i="33"/>
  <c r="N8" i="33"/>
  <c r="M375" i="33"/>
  <c r="M366" i="33"/>
  <c r="M365" i="33"/>
  <c r="M364" i="33"/>
  <c r="M363" i="33"/>
  <c r="M362" i="33"/>
  <c r="M348" i="33"/>
  <c r="M303" i="33"/>
  <c r="M299" i="33"/>
  <c r="M293" i="33"/>
  <c r="M292" i="33"/>
  <c r="M288" i="33"/>
  <c r="M287" i="33"/>
  <c r="M285" i="33"/>
  <c r="M284" i="33"/>
  <c r="M279" i="33"/>
  <c r="M278" i="33"/>
  <c r="M276" i="33"/>
  <c r="M239" i="33"/>
  <c r="M199" i="33"/>
  <c r="M193" i="33"/>
  <c r="M192" i="33"/>
  <c r="M188" i="33"/>
  <c r="M187" i="33"/>
  <c r="M185" i="33"/>
  <c r="M184" i="33"/>
  <c r="M136" i="33"/>
  <c r="M135" i="33"/>
  <c r="M132" i="33"/>
  <c r="M131" i="33"/>
  <c r="M130" i="33"/>
  <c r="M125" i="33"/>
  <c r="M124" i="33"/>
  <c r="M120" i="33"/>
  <c r="M119" i="33"/>
  <c r="M41" i="33"/>
  <c r="M30" i="33"/>
  <c r="M8" i="33"/>
  <c r="I1" i="33"/>
  <c r="K61" i="33"/>
  <c r="L1" i="33"/>
  <c r="K388" i="33"/>
  <c r="K387" i="33"/>
  <c r="K383" i="33"/>
  <c r="K382" i="33"/>
  <c r="K381" i="33"/>
  <c r="K380" i="33"/>
  <c r="K379" i="33"/>
  <c r="K378" i="33"/>
  <c r="K377" i="33"/>
  <c r="K376" i="33"/>
  <c r="K375" i="33"/>
  <c r="K374" i="33"/>
  <c r="K373" i="33"/>
  <c r="K372" i="33"/>
  <c r="K371" i="33"/>
  <c r="K370" i="33"/>
  <c r="K369" i="33"/>
  <c r="K368" i="33"/>
  <c r="K354" i="33"/>
  <c r="K353" i="33"/>
  <c r="K352" i="33"/>
  <c r="K351" i="33"/>
  <c r="K350" i="33"/>
  <c r="K349" i="33"/>
  <c r="K348" i="33"/>
  <c r="K347" i="33"/>
  <c r="K346" i="33"/>
  <c r="K345" i="33"/>
  <c r="K344" i="33"/>
  <c r="K343" i="33"/>
  <c r="K342" i="33"/>
  <c r="K341" i="33"/>
  <c r="K340" i="33"/>
  <c r="K339" i="33"/>
  <c r="K338" i="33"/>
  <c r="K337" i="33"/>
  <c r="K336" i="33"/>
  <c r="K335" i="33"/>
  <c r="K334" i="33"/>
  <c r="K333" i="33"/>
  <c r="K332" i="33"/>
  <c r="K331" i="33"/>
  <c r="K330" i="33"/>
  <c r="K329" i="33"/>
  <c r="K328" i="33"/>
  <c r="K327" i="33"/>
  <c r="K326" i="33"/>
  <c r="K325" i="33"/>
  <c r="K324" i="33"/>
  <c r="K323" i="33"/>
  <c r="K322" i="33"/>
  <c r="K321" i="33"/>
  <c r="K320" i="33"/>
  <c r="K319" i="33"/>
  <c r="K318" i="33"/>
  <c r="K317" i="33"/>
  <c r="K316" i="33"/>
  <c r="K315" i="33"/>
  <c r="K314" i="33"/>
  <c r="K313" i="33"/>
  <c r="K312" i="33"/>
  <c r="K311" i="33"/>
  <c r="K310" i="33"/>
  <c r="K309" i="33"/>
  <c r="K308" i="33"/>
  <c r="K307" i="33"/>
  <c r="K306" i="33"/>
  <c r="K271" i="33"/>
  <c r="K270" i="33"/>
  <c r="K269" i="33"/>
  <c r="K268" i="33"/>
  <c r="K267" i="33"/>
  <c r="K266" i="33"/>
  <c r="K265" i="33"/>
  <c r="K264" i="33"/>
  <c r="K263" i="33"/>
  <c r="K262" i="33"/>
  <c r="K261" i="33"/>
  <c r="K260" i="33"/>
  <c r="K259" i="33"/>
  <c r="K258" i="33"/>
  <c r="K257" i="33"/>
  <c r="K256" i="33"/>
  <c r="K255" i="33"/>
  <c r="K254" i="33"/>
  <c r="K253" i="33"/>
  <c r="K252" i="33"/>
  <c r="K251" i="33"/>
  <c r="K250" i="33"/>
  <c r="K249" i="33"/>
  <c r="K248" i="33"/>
  <c r="K247" i="33"/>
  <c r="K246" i="33"/>
  <c r="K245" i="33"/>
  <c r="K244" i="33"/>
  <c r="K243" i="33"/>
  <c r="K242" i="33"/>
  <c r="K241" i="33"/>
  <c r="K240" i="33"/>
  <c r="K239" i="33"/>
  <c r="K238" i="33"/>
  <c r="K237" i="33"/>
  <c r="K236" i="33"/>
  <c r="K235" i="33"/>
  <c r="K234" i="33"/>
  <c r="K233" i="33"/>
  <c r="K232" i="33"/>
  <c r="K231" i="33"/>
  <c r="K230" i="33"/>
  <c r="K229" i="33"/>
  <c r="K228" i="33"/>
  <c r="K227" i="33"/>
  <c r="K226" i="33"/>
  <c r="K225" i="33"/>
  <c r="K224" i="33"/>
  <c r="K223" i="33"/>
  <c r="K222" i="33"/>
  <c r="K221" i="33"/>
  <c r="K220" i="33"/>
  <c r="K219" i="33"/>
  <c r="K218" i="33"/>
  <c r="K217" i="33"/>
  <c r="K216" i="33"/>
  <c r="K215" i="33"/>
  <c r="K214" i="33"/>
  <c r="K213" i="33"/>
  <c r="K212" i="33"/>
  <c r="K211" i="33"/>
  <c r="K210" i="33"/>
  <c r="K209" i="33"/>
  <c r="K208" i="33"/>
  <c r="K162" i="33"/>
  <c r="K161" i="33"/>
  <c r="K160" i="33"/>
  <c r="K159" i="33"/>
  <c r="K158" i="33"/>
  <c r="K157" i="33"/>
  <c r="K156" i="33"/>
  <c r="K155" i="33"/>
  <c r="K154" i="33"/>
  <c r="K153" i="33"/>
  <c r="K152" i="33"/>
  <c r="K151" i="33"/>
  <c r="K150" i="33"/>
  <c r="K149" i="33"/>
  <c r="K148" i="33"/>
  <c r="K147" i="33"/>
  <c r="K146" i="33"/>
  <c r="K145" i="33"/>
  <c r="K144" i="33"/>
  <c r="K143" i="33"/>
  <c r="K142" i="33"/>
  <c r="K141" i="33"/>
  <c r="K140" i="33"/>
  <c r="K139" i="33"/>
  <c r="K138" i="33"/>
  <c r="K116" i="33"/>
  <c r="K115" i="33"/>
  <c r="K114" i="33"/>
  <c r="K113" i="33"/>
  <c r="K112" i="33"/>
  <c r="K111" i="33"/>
  <c r="K110" i="33"/>
  <c r="K109" i="33"/>
  <c r="K108" i="33"/>
  <c r="K107" i="33"/>
  <c r="K106" i="33"/>
  <c r="K105" i="33"/>
  <c r="K104" i="33"/>
  <c r="K103" i="33"/>
  <c r="K102" i="33"/>
  <c r="K101" i="33"/>
  <c r="K100" i="33"/>
  <c r="K99" i="33"/>
  <c r="K98" i="33"/>
  <c r="K97" i="33"/>
  <c r="K96" i="33"/>
  <c r="K95" i="33"/>
  <c r="K94" i="33"/>
  <c r="K93" i="33"/>
  <c r="K92" i="33"/>
  <c r="K91" i="33"/>
  <c r="K90" i="33"/>
  <c r="K89" i="33"/>
  <c r="K88" i="33"/>
  <c r="K87" i="33"/>
  <c r="K86" i="33"/>
  <c r="K85" i="33"/>
  <c r="K84" i="33"/>
  <c r="K83" i="33"/>
  <c r="K82" i="33"/>
  <c r="K81" i="33"/>
  <c r="K80" i="33"/>
  <c r="K79" i="33"/>
  <c r="K78" i="33"/>
  <c r="K77" i="33"/>
  <c r="K76" i="33"/>
  <c r="K75" i="33"/>
  <c r="K74" i="33"/>
  <c r="K73" i="33"/>
  <c r="K72" i="33"/>
  <c r="K71" i="33"/>
  <c r="K70" i="33"/>
  <c r="K69" i="33"/>
  <c r="K68" i="33"/>
  <c r="K67" i="33"/>
  <c r="K66" i="33"/>
  <c r="K65" i="33"/>
  <c r="K64" i="33"/>
  <c r="K63" i="33"/>
  <c r="K62" i="33"/>
  <c r="K60" i="33"/>
  <c r="K59" i="33"/>
  <c r="K58" i="33"/>
  <c r="K57" i="33"/>
  <c r="K56" i="33"/>
  <c r="K55" i="33"/>
  <c r="K54" i="33"/>
  <c r="K53" i="33"/>
  <c r="K52" i="33"/>
  <c r="N21" i="19"/>
  <c r="M21" i="19"/>
  <c r="H4" i="11" l="1"/>
  <c r="H58" i="25"/>
  <c r="H122" i="25"/>
  <c r="G122" i="25"/>
  <c r="G58" i="25"/>
  <c r="G76" i="25" l="1"/>
  <c r="U90" i="1" l="1"/>
  <c r="B55" i="23"/>
  <c r="B43" i="23"/>
  <c r="B46" i="23"/>
  <c r="B62" i="23" l="1"/>
  <c r="B61" i="23"/>
  <c r="B60" i="23"/>
  <c r="B59" i="23"/>
  <c r="B58" i="23"/>
  <c r="B57" i="23"/>
  <c r="B56" i="23"/>
  <c r="B54" i="23"/>
  <c r="D54" i="23" s="1"/>
  <c r="B42" i="23"/>
  <c r="B45" i="23"/>
  <c r="B44" i="23"/>
  <c r="B38" i="23"/>
  <c r="B41" i="23"/>
  <c r="B40" i="23"/>
  <c r="B39" i="23"/>
  <c r="K38" i="23"/>
  <c r="K54" i="23"/>
  <c r="K70" i="23"/>
  <c r="B70" i="23" s="1"/>
  <c r="K77" i="23"/>
  <c r="B77" i="23" s="1"/>
  <c r="K76" i="23"/>
  <c r="B76" i="23" s="1"/>
  <c r="K75" i="23"/>
  <c r="K61" i="23"/>
  <c r="K60" i="23"/>
  <c r="K59" i="23"/>
  <c r="K45" i="23"/>
  <c r="K44" i="23"/>
  <c r="K43" i="23"/>
  <c r="K29" i="23"/>
  <c r="K28" i="23"/>
  <c r="K27" i="23"/>
  <c r="K26" i="23"/>
  <c r="K17" i="23"/>
  <c r="K16" i="23"/>
  <c r="K15" i="23"/>
  <c r="K13" i="23"/>
  <c r="G18" i="10"/>
  <c r="B72" i="23"/>
  <c r="B75" i="23"/>
  <c r="K72" i="23"/>
  <c r="K71" i="23"/>
  <c r="B71" i="23" s="1"/>
  <c r="K74" i="23"/>
  <c r="B74" i="23" s="1"/>
  <c r="K73" i="23"/>
  <c r="B73" i="23" s="1"/>
  <c r="K56" i="23"/>
  <c r="K55" i="23"/>
  <c r="K58" i="23"/>
  <c r="K57" i="23"/>
  <c r="K42" i="23"/>
  <c r="K41" i="23"/>
  <c r="K40" i="23"/>
  <c r="K39" i="23"/>
  <c r="B26" i="23"/>
  <c r="D26" i="23" s="1"/>
  <c r="K30" i="23"/>
  <c r="K12" i="23"/>
  <c r="B12" i="23" s="1"/>
  <c r="D38" i="23" l="1"/>
  <c r="U127" i="1" l="1"/>
  <c r="S127" i="1"/>
  <c r="S76" i="1"/>
  <c r="O141" i="7" s="1"/>
  <c r="M149" i="33" s="1"/>
  <c r="S75" i="1"/>
  <c r="O140" i="7" s="1"/>
  <c r="M148" i="33" s="1"/>
  <c r="U75" i="1"/>
  <c r="P140" i="7" l="1"/>
  <c r="N148" i="33" s="1"/>
  <c r="K14" i="23" l="1"/>
  <c r="H7" i="10"/>
  <c r="O360" i="7"/>
  <c r="M388" i="33" s="1"/>
  <c r="O359" i="7"/>
  <c r="M387" i="33" s="1"/>
  <c r="O358" i="7"/>
  <c r="M386" i="33" s="1"/>
  <c r="O357" i="7"/>
  <c r="M385" i="33" s="1"/>
  <c r="O356" i="7"/>
  <c r="M384" i="33" s="1"/>
  <c r="O340" i="7"/>
  <c r="M367" i="33" s="1"/>
  <c r="O339" i="7"/>
  <c r="M361" i="33" s="1"/>
  <c r="O338" i="7"/>
  <c r="M360" i="33" s="1"/>
  <c r="O337" i="7"/>
  <c r="M359" i="33" s="1"/>
  <c r="O336" i="7"/>
  <c r="M358" i="33" s="1"/>
  <c r="O335" i="7"/>
  <c r="M357" i="33" s="1"/>
  <c r="O334" i="7"/>
  <c r="M356" i="33" s="1"/>
  <c r="O333" i="7"/>
  <c r="M355" i="33" s="1"/>
  <c r="O315" i="7"/>
  <c r="M336" i="33" s="1"/>
  <c r="O310" i="7"/>
  <c r="M331" i="33" s="1"/>
  <c r="O282" i="7"/>
  <c r="M305" i="33" s="1"/>
  <c r="O281" i="7"/>
  <c r="M304" i="33" s="1"/>
  <c r="O280" i="7"/>
  <c r="M302" i="33" s="1"/>
  <c r="O279" i="7"/>
  <c r="M301" i="33" s="1"/>
  <c r="O278" i="7"/>
  <c r="M300" i="33" s="1"/>
  <c r="O277" i="7"/>
  <c r="M298" i="33" s="1"/>
  <c r="O276" i="7"/>
  <c r="M297" i="33" s="1"/>
  <c r="O275" i="7"/>
  <c r="M296" i="33" s="1"/>
  <c r="O274" i="7"/>
  <c r="M295" i="33" s="1"/>
  <c r="O273" i="7"/>
  <c r="M294" i="33" s="1"/>
  <c r="O272" i="7"/>
  <c r="M291" i="33" s="1"/>
  <c r="O271" i="7"/>
  <c r="M290" i="33" s="1"/>
  <c r="O270" i="7"/>
  <c r="M289" i="33" s="1"/>
  <c r="O269" i="7"/>
  <c r="M286" i="33" s="1"/>
  <c r="O268" i="7"/>
  <c r="M283" i="33" s="1"/>
  <c r="O267" i="7"/>
  <c r="M282" i="33" s="1"/>
  <c r="O266" i="7"/>
  <c r="M281" i="33" s="1"/>
  <c r="O265" i="7"/>
  <c r="M280" i="33" s="1"/>
  <c r="O264" i="7"/>
  <c r="M277" i="33" s="1"/>
  <c r="O263" i="7"/>
  <c r="M275" i="33" s="1"/>
  <c r="O262" i="7"/>
  <c r="M274" i="33" s="1"/>
  <c r="O261" i="7"/>
  <c r="M273" i="33" s="1"/>
  <c r="O260" i="7"/>
  <c r="M272" i="33" s="1"/>
  <c r="O236" i="7"/>
  <c r="M248" i="33" s="1"/>
  <c r="O231" i="7"/>
  <c r="M243" i="33" s="1"/>
  <c r="O207" i="7"/>
  <c r="O194" i="7"/>
  <c r="M207" i="33" s="1"/>
  <c r="O193" i="7"/>
  <c r="M206" i="33" s="1"/>
  <c r="O192" i="7"/>
  <c r="M205" i="33" s="1"/>
  <c r="O191" i="7"/>
  <c r="M204" i="33" s="1"/>
  <c r="O190" i="7"/>
  <c r="M203" i="33" s="1"/>
  <c r="O189" i="7"/>
  <c r="M202" i="33" s="1"/>
  <c r="O188" i="7"/>
  <c r="O187" i="7"/>
  <c r="M201" i="33" s="1"/>
  <c r="O186" i="7"/>
  <c r="M200" i="33" s="1"/>
  <c r="O185" i="7"/>
  <c r="M198" i="33" s="1"/>
  <c r="O184" i="7"/>
  <c r="M197" i="33" s="1"/>
  <c r="O183" i="7"/>
  <c r="M196" i="33" s="1"/>
  <c r="O182" i="7"/>
  <c r="M195" i="33" s="1"/>
  <c r="O181" i="7"/>
  <c r="M194" i="33" s="1"/>
  <c r="O180" i="7"/>
  <c r="M191" i="33" s="1"/>
  <c r="O179" i="7"/>
  <c r="M190" i="33" s="1"/>
  <c r="O178" i="7"/>
  <c r="M189" i="33" s="1"/>
  <c r="O177" i="7"/>
  <c r="M186" i="33" s="1"/>
  <c r="O176" i="7"/>
  <c r="M183" i="33" s="1"/>
  <c r="O175" i="7"/>
  <c r="M182" i="33" s="1"/>
  <c r="O174" i="7"/>
  <c r="M181" i="33" s="1"/>
  <c r="O173" i="7"/>
  <c r="M180" i="33" s="1"/>
  <c r="O172" i="7"/>
  <c r="M179" i="33" s="1"/>
  <c r="O171" i="7"/>
  <c r="M178" i="33" s="1"/>
  <c r="O170" i="7"/>
  <c r="M177" i="33" s="1"/>
  <c r="O169" i="7"/>
  <c r="M176" i="33" s="1"/>
  <c r="O168" i="7"/>
  <c r="M175" i="33" s="1"/>
  <c r="O167" i="7"/>
  <c r="M174" i="33" s="1"/>
  <c r="O166" i="7"/>
  <c r="M173" i="33" s="1"/>
  <c r="O165" i="7"/>
  <c r="O164" i="7"/>
  <c r="M172" i="33" s="1"/>
  <c r="O163" i="7"/>
  <c r="M171" i="33" s="1"/>
  <c r="O162" i="7"/>
  <c r="M170" i="33" s="1"/>
  <c r="O161" i="7"/>
  <c r="M169" i="33" s="1"/>
  <c r="O160" i="7"/>
  <c r="M168" i="33" s="1"/>
  <c r="O159" i="7"/>
  <c r="M167" i="33" s="1"/>
  <c r="O158" i="7"/>
  <c r="M166" i="33" s="1"/>
  <c r="O157" i="7"/>
  <c r="M165" i="33" s="1"/>
  <c r="O156" i="7"/>
  <c r="M164" i="33" s="1"/>
  <c r="O155" i="7"/>
  <c r="M163" i="33" s="1"/>
  <c r="O134" i="7"/>
  <c r="O128" i="7"/>
  <c r="M137" i="33" s="1"/>
  <c r="O127" i="7"/>
  <c r="M134" i="33" s="1"/>
  <c r="O126" i="7"/>
  <c r="M133" i="33" s="1"/>
  <c r="O125" i="7"/>
  <c r="M129" i="33" s="1"/>
  <c r="O124" i="7"/>
  <c r="M128" i="33" s="1"/>
  <c r="O123" i="7"/>
  <c r="M127" i="33" s="1"/>
  <c r="O122" i="7"/>
  <c r="M126" i="33" s="1"/>
  <c r="O121" i="7"/>
  <c r="M123" i="33" s="1"/>
  <c r="O120" i="7"/>
  <c r="M122" i="33" s="1"/>
  <c r="O119" i="7"/>
  <c r="M121" i="33" s="1"/>
  <c r="O118" i="7"/>
  <c r="M118" i="33" s="1"/>
  <c r="O117" i="7"/>
  <c r="M117" i="33" s="1"/>
  <c r="O114" i="7"/>
  <c r="M114" i="33" s="1"/>
  <c r="O104" i="7"/>
  <c r="M104" i="33" s="1"/>
  <c r="O103" i="7"/>
  <c r="M103" i="33" s="1"/>
  <c r="O93" i="7"/>
  <c r="M93" i="33" s="1"/>
  <c r="O89" i="7"/>
  <c r="M89" i="33" s="1"/>
  <c r="O74" i="7"/>
  <c r="M74" i="33" s="1"/>
  <c r="O51" i="7"/>
  <c r="M52" i="33" s="1"/>
  <c r="O50" i="7"/>
  <c r="M51" i="33" s="1"/>
  <c r="O49" i="7"/>
  <c r="M50" i="33" s="1"/>
  <c r="O48" i="7"/>
  <c r="M49" i="33" s="1"/>
  <c r="O47" i="7"/>
  <c r="M48" i="33" s="1"/>
  <c r="O46" i="7"/>
  <c r="M47" i="33" s="1"/>
  <c r="O45" i="7"/>
  <c r="M46" i="33" s="1"/>
  <c r="O44" i="7"/>
  <c r="M45" i="33" s="1"/>
  <c r="O43" i="7"/>
  <c r="M44" i="33" s="1"/>
  <c r="O42" i="7"/>
  <c r="M43" i="33" s="1"/>
  <c r="O41" i="7"/>
  <c r="M42" i="33" s="1"/>
  <c r="O40" i="7"/>
  <c r="O39" i="7"/>
  <c r="M40" i="33" s="1"/>
  <c r="O38" i="7"/>
  <c r="M39" i="33" s="1"/>
  <c r="O37" i="7"/>
  <c r="M38" i="33" s="1"/>
  <c r="O36" i="7"/>
  <c r="M37" i="33" s="1"/>
  <c r="O35" i="7"/>
  <c r="M36" i="33" s="1"/>
  <c r="O34" i="7"/>
  <c r="M35" i="33" s="1"/>
  <c r="O33" i="7"/>
  <c r="M34" i="33" s="1"/>
  <c r="O32" i="7"/>
  <c r="M33" i="33" s="1"/>
  <c r="O4" i="7"/>
  <c r="M3" i="33" s="1"/>
  <c r="O31" i="7"/>
  <c r="M32" i="33" s="1"/>
  <c r="O30" i="7"/>
  <c r="M31" i="33" s="1"/>
  <c r="O29" i="7"/>
  <c r="M29" i="33" s="1"/>
  <c r="O28" i="7"/>
  <c r="M28" i="33" s="1"/>
  <c r="O27" i="7"/>
  <c r="M27" i="33" s="1"/>
  <c r="O26" i="7"/>
  <c r="M26" i="33" s="1"/>
  <c r="O25" i="7"/>
  <c r="M25" i="33" s="1"/>
  <c r="O24" i="7"/>
  <c r="M24" i="33" s="1"/>
  <c r="O23" i="7"/>
  <c r="M23" i="33" s="1"/>
  <c r="O22" i="7"/>
  <c r="M22" i="33" s="1"/>
  <c r="O21" i="7"/>
  <c r="M21" i="33" s="1"/>
  <c r="O20" i="7"/>
  <c r="M20" i="33" s="1"/>
  <c r="O19" i="7"/>
  <c r="M19" i="33" s="1"/>
  <c r="O18" i="7"/>
  <c r="M18" i="33" s="1"/>
  <c r="O17" i="7"/>
  <c r="M17" i="33" s="1"/>
  <c r="O16" i="7"/>
  <c r="M16" i="33" s="1"/>
  <c r="O15" i="7"/>
  <c r="M15" i="33" s="1"/>
  <c r="O14" i="7"/>
  <c r="M14" i="33" s="1"/>
  <c r="O13" i="7"/>
  <c r="M13" i="33" s="1"/>
  <c r="O12" i="7"/>
  <c r="M12" i="33" s="1"/>
  <c r="O11" i="7"/>
  <c r="M11" i="33" s="1"/>
  <c r="O10" i="7"/>
  <c r="M10" i="33" s="1"/>
  <c r="O9" i="7"/>
  <c r="M9" i="33" s="1"/>
  <c r="O8" i="7"/>
  <c r="M7" i="33" s="1"/>
  <c r="O7" i="7"/>
  <c r="M6" i="33" s="1"/>
  <c r="O6" i="7"/>
  <c r="M5" i="33" s="1"/>
  <c r="O5" i="7"/>
  <c r="M4" i="33" s="1"/>
  <c r="N4" i="7"/>
  <c r="U216" i="1"/>
  <c r="U157" i="1"/>
  <c r="T17" i="24"/>
  <c r="T22" i="24"/>
  <c r="T21" i="24"/>
  <c r="T19" i="24"/>
  <c r="S216" i="1"/>
  <c r="S157" i="1"/>
  <c r="T18" i="24"/>
  <c r="T20" i="24"/>
  <c r="U44" i="24"/>
  <c r="U46" i="24" s="1"/>
  <c r="U4" i="24"/>
  <c r="K65" i="24"/>
  <c r="U11" i="24" s="1"/>
  <c r="S233" i="1" s="1"/>
  <c r="K60" i="24"/>
  <c r="U10" i="24" s="1"/>
  <c r="S217" i="1" s="1"/>
  <c r="K43" i="24"/>
  <c r="U9" i="24" s="1"/>
  <c r="S158" i="1" s="1"/>
  <c r="K25" i="24"/>
  <c r="U8" i="24" s="1"/>
  <c r="S87" i="1" s="1"/>
  <c r="K20" i="24"/>
  <c r="U6" i="24" s="1"/>
  <c r="S59" i="1" s="1"/>
  <c r="K17" i="24"/>
  <c r="S89" i="1"/>
  <c r="S88" i="1"/>
  <c r="S86" i="1"/>
  <c r="S85" i="1"/>
  <c r="S84" i="1"/>
  <c r="S83" i="1"/>
  <c r="S82" i="1"/>
  <c r="S81" i="1"/>
  <c r="S80" i="1"/>
  <c r="S79" i="1"/>
  <c r="S78" i="1"/>
  <c r="S77" i="1"/>
  <c r="S74" i="1"/>
  <c r="S73" i="1"/>
  <c r="S72" i="1"/>
  <c r="S71" i="1"/>
  <c r="S70" i="1"/>
  <c r="S64" i="1"/>
  <c r="S63" i="1"/>
  <c r="S62" i="1"/>
  <c r="S61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F138" i="7"/>
  <c r="C138" i="7"/>
  <c r="U89" i="1"/>
  <c r="U88" i="1"/>
  <c r="U86" i="1"/>
  <c r="U85" i="1"/>
  <c r="U84" i="1"/>
  <c r="U83" i="1"/>
  <c r="U82" i="1"/>
  <c r="U81" i="1"/>
  <c r="U80" i="1"/>
  <c r="U79" i="1"/>
  <c r="U78" i="1"/>
  <c r="U77" i="1"/>
  <c r="U64" i="1"/>
  <c r="U63" i="1"/>
  <c r="U62" i="1"/>
  <c r="U61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0" i="1"/>
  <c r="G150" i="11"/>
  <c r="S234" i="1" s="1"/>
  <c r="G149" i="11"/>
  <c r="G148" i="11"/>
  <c r="S232" i="1" s="1"/>
  <c r="G147" i="11"/>
  <c r="S231" i="1" s="1"/>
  <c r="G146" i="11"/>
  <c r="S230" i="1" s="1"/>
  <c r="G145" i="11"/>
  <c r="S229" i="1" s="1"/>
  <c r="G144" i="11"/>
  <c r="S228" i="1" s="1"/>
  <c r="G143" i="11"/>
  <c r="S227" i="1" s="1"/>
  <c r="G142" i="11"/>
  <c r="S226" i="1" s="1"/>
  <c r="G141" i="11"/>
  <c r="S225" i="1" s="1"/>
  <c r="G140" i="11"/>
  <c r="S224" i="1" s="1"/>
  <c r="G139" i="11"/>
  <c r="S223" i="1" s="1"/>
  <c r="G138" i="11"/>
  <c r="S222" i="1" s="1"/>
  <c r="G137" i="11"/>
  <c r="S221" i="1" s="1"/>
  <c r="G136" i="11"/>
  <c r="G135" i="11"/>
  <c r="S220" i="1" s="1"/>
  <c r="G134" i="11"/>
  <c r="S219" i="1" s="1"/>
  <c r="G133" i="11"/>
  <c r="S218" i="1" s="1"/>
  <c r="G132" i="11"/>
  <c r="G131" i="11"/>
  <c r="G130" i="11"/>
  <c r="S215" i="1" s="1"/>
  <c r="G129" i="11"/>
  <c r="S214" i="1" s="1"/>
  <c r="G128" i="11"/>
  <c r="S213" i="1" s="1"/>
  <c r="G127" i="11"/>
  <c r="S212" i="1" s="1"/>
  <c r="G126" i="11"/>
  <c r="S211" i="1" s="1"/>
  <c r="G125" i="11"/>
  <c r="S210" i="1" s="1"/>
  <c r="G124" i="11"/>
  <c r="S209" i="1" s="1"/>
  <c r="G123" i="11"/>
  <c r="S208" i="1" s="1"/>
  <c r="G122" i="11"/>
  <c r="S207" i="1" s="1"/>
  <c r="S206" i="1"/>
  <c r="G120" i="11"/>
  <c r="S205" i="1" s="1"/>
  <c r="G119" i="11"/>
  <c r="S204" i="1" s="1"/>
  <c r="G118" i="11"/>
  <c r="S203" i="1" s="1"/>
  <c r="G117" i="11"/>
  <c r="S202" i="1" s="1"/>
  <c r="G116" i="11"/>
  <c r="S201" i="1" s="1"/>
  <c r="G115" i="11"/>
  <c r="S200" i="1" s="1"/>
  <c r="G114" i="11"/>
  <c r="S199" i="1" s="1"/>
  <c r="G113" i="11"/>
  <c r="S198" i="1" s="1"/>
  <c r="G112" i="11"/>
  <c r="S197" i="1" s="1"/>
  <c r="G111" i="11"/>
  <c r="S196" i="1" s="1"/>
  <c r="G110" i="11"/>
  <c r="S195" i="1" s="1"/>
  <c r="G109" i="11"/>
  <c r="S194" i="1" s="1"/>
  <c r="G108" i="11"/>
  <c r="S193" i="1" s="1"/>
  <c r="G107" i="11"/>
  <c r="S192" i="1" s="1"/>
  <c r="G106" i="11"/>
  <c r="S191" i="1" s="1"/>
  <c r="G105" i="11"/>
  <c r="S190" i="1" s="1"/>
  <c r="G104" i="11"/>
  <c r="S189" i="1" s="1"/>
  <c r="G103" i="11"/>
  <c r="S188" i="1" s="1"/>
  <c r="G102" i="11"/>
  <c r="S187" i="1" s="1"/>
  <c r="G101" i="11"/>
  <c r="S186" i="1" s="1"/>
  <c r="G100" i="11"/>
  <c r="S185" i="1" s="1"/>
  <c r="G99" i="11"/>
  <c r="S184" i="1" s="1"/>
  <c r="G98" i="11"/>
  <c r="S183" i="1" s="1"/>
  <c r="G97" i="11"/>
  <c r="S182" i="1" s="1"/>
  <c r="G96" i="11"/>
  <c r="S181" i="1" s="1"/>
  <c r="G95" i="11"/>
  <c r="S180" i="1" s="1"/>
  <c r="G94" i="11"/>
  <c r="S179" i="1" s="1"/>
  <c r="G93" i="11"/>
  <c r="S178" i="1" s="1"/>
  <c r="G92" i="11"/>
  <c r="S177" i="1" s="1"/>
  <c r="G91" i="11"/>
  <c r="S176" i="1" s="1"/>
  <c r="G90" i="11"/>
  <c r="S175" i="1" s="1"/>
  <c r="G89" i="11"/>
  <c r="S174" i="1" s="1"/>
  <c r="G88" i="11"/>
  <c r="S173" i="1" s="1"/>
  <c r="G87" i="11"/>
  <c r="S172" i="1" s="1"/>
  <c r="G86" i="11"/>
  <c r="S171" i="1" s="1"/>
  <c r="G85" i="11"/>
  <c r="S170" i="1" s="1"/>
  <c r="G84" i="11"/>
  <c r="S169" i="1" s="1"/>
  <c r="G83" i="11"/>
  <c r="S168" i="1" s="1"/>
  <c r="G82" i="11"/>
  <c r="S167" i="1" s="1"/>
  <c r="G81" i="11"/>
  <c r="G80" i="11"/>
  <c r="S166" i="1" s="1"/>
  <c r="G79" i="11"/>
  <c r="S165" i="1" s="1"/>
  <c r="G78" i="11"/>
  <c r="S164" i="1" s="1"/>
  <c r="G77" i="11"/>
  <c r="S163" i="1" s="1"/>
  <c r="G76" i="11"/>
  <c r="S162" i="1" s="1"/>
  <c r="G75" i="11"/>
  <c r="S161" i="1" s="1"/>
  <c r="G74" i="11"/>
  <c r="S160" i="1" s="1"/>
  <c r="G73" i="11"/>
  <c r="S159" i="1" s="1"/>
  <c r="G72" i="11"/>
  <c r="G71" i="11"/>
  <c r="G70" i="11"/>
  <c r="S156" i="1" s="1"/>
  <c r="G69" i="11"/>
  <c r="S155" i="1" s="1"/>
  <c r="G68" i="11"/>
  <c r="S154" i="1" s="1"/>
  <c r="G67" i="11"/>
  <c r="S153" i="1" s="1"/>
  <c r="G66" i="11"/>
  <c r="S152" i="1" s="1"/>
  <c r="G65" i="11"/>
  <c r="S151" i="1" s="1"/>
  <c r="G64" i="11"/>
  <c r="S150" i="1" s="1"/>
  <c r="G63" i="11"/>
  <c r="S149" i="1" s="1"/>
  <c r="G62" i="11"/>
  <c r="S148" i="1" s="1"/>
  <c r="G61" i="11"/>
  <c r="S147" i="1" s="1"/>
  <c r="G60" i="11"/>
  <c r="S146" i="1" s="1"/>
  <c r="G59" i="11"/>
  <c r="S145" i="1" s="1"/>
  <c r="G58" i="11"/>
  <c r="S144" i="1" s="1"/>
  <c r="G57" i="11"/>
  <c r="S143" i="1" s="1"/>
  <c r="G56" i="11"/>
  <c r="S142" i="1" s="1"/>
  <c r="G55" i="11"/>
  <c r="S141" i="1" s="1"/>
  <c r="G54" i="11"/>
  <c r="S140" i="1" s="1"/>
  <c r="G53" i="11"/>
  <c r="S139" i="1" s="1"/>
  <c r="G52" i="11"/>
  <c r="S138" i="1" s="1"/>
  <c r="G51" i="11"/>
  <c r="S137" i="1" s="1"/>
  <c r="G50" i="11"/>
  <c r="S136" i="1" s="1"/>
  <c r="G49" i="11"/>
  <c r="S135" i="1" s="1"/>
  <c r="G48" i="11"/>
  <c r="S134" i="1" s="1"/>
  <c r="G47" i="11"/>
  <c r="S133" i="1" s="1"/>
  <c r="G46" i="11"/>
  <c r="S132" i="1" s="1"/>
  <c r="G45" i="11"/>
  <c r="S131" i="1" s="1"/>
  <c r="G44" i="11"/>
  <c r="S130" i="1" s="1"/>
  <c r="G43" i="11"/>
  <c r="S129" i="1" s="1"/>
  <c r="G42" i="11"/>
  <c r="S128" i="1" s="1"/>
  <c r="G41" i="11"/>
  <c r="S126" i="1" s="1"/>
  <c r="G40" i="11"/>
  <c r="S125" i="1" s="1"/>
  <c r="G39" i="11"/>
  <c r="S124" i="1" s="1"/>
  <c r="G38" i="11"/>
  <c r="S123" i="1" s="1"/>
  <c r="G37" i="11"/>
  <c r="S122" i="1" s="1"/>
  <c r="G36" i="11"/>
  <c r="S121" i="1" s="1"/>
  <c r="G35" i="11"/>
  <c r="S120" i="1" s="1"/>
  <c r="G34" i="11"/>
  <c r="S119" i="1" s="1"/>
  <c r="G33" i="11"/>
  <c r="S118" i="1" s="1"/>
  <c r="G32" i="11"/>
  <c r="S117" i="1" s="1"/>
  <c r="G31" i="11"/>
  <c r="S116" i="1" s="1"/>
  <c r="G30" i="11"/>
  <c r="S115" i="1" s="1"/>
  <c r="G29" i="11"/>
  <c r="S114" i="1" s="1"/>
  <c r="G28" i="11"/>
  <c r="S113" i="1" s="1"/>
  <c r="G27" i="11"/>
  <c r="S112" i="1" s="1"/>
  <c r="G26" i="11"/>
  <c r="S111" i="1" s="1"/>
  <c r="G25" i="11"/>
  <c r="S110" i="1" s="1"/>
  <c r="G24" i="11"/>
  <c r="S109" i="1" s="1"/>
  <c r="G23" i="11"/>
  <c r="S108" i="1" s="1"/>
  <c r="G22" i="11"/>
  <c r="S107" i="1" s="1"/>
  <c r="G21" i="11"/>
  <c r="S106" i="1" s="1"/>
  <c r="G20" i="11"/>
  <c r="S105" i="1" s="1"/>
  <c r="G19" i="11"/>
  <c r="S104" i="1" s="1"/>
  <c r="G18" i="11"/>
  <c r="S103" i="1" s="1"/>
  <c r="G17" i="11"/>
  <c r="S102" i="1" s="1"/>
  <c r="G16" i="11"/>
  <c r="G15" i="11"/>
  <c r="S101" i="1" s="1"/>
  <c r="G14" i="11"/>
  <c r="S100" i="1" s="1"/>
  <c r="G13" i="11"/>
  <c r="S99" i="1" s="1"/>
  <c r="G12" i="11"/>
  <c r="S98" i="1" s="1"/>
  <c r="G11" i="11"/>
  <c r="S97" i="1" s="1"/>
  <c r="G10" i="11"/>
  <c r="S96" i="1" s="1"/>
  <c r="G9" i="11"/>
  <c r="S95" i="1" s="1"/>
  <c r="G8" i="11"/>
  <c r="S94" i="1" s="1"/>
  <c r="G7" i="11"/>
  <c r="S93" i="1" s="1"/>
  <c r="G6" i="11"/>
  <c r="S92" i="1" s="1"/>
  <c r="G5" i="11"/>
  <c r="S91" i="1" s="1"/>
  <c r="G4" i="11"/>
  <c r="H151" i="11"/>
  <c r="H150" i="11"/>
  <c r="U234" i="1" s="1"/>
  <c r="H149" i="11"/>
  <c r="H148" i="11"/>
  <c r="U232" i="1" s="1"/>
  <c r="H147" i="11"/>
  <c r="U231" i="1" s="1"/>
  <c r="H146" i="11"/>
  <c r="U230" i="1" s="1"/>
  <c r="H145" i="11"/>
  <c r="U229" i="1" s="1"/>
  <c r="H144" i="11"/>
  <c r="U228" i="1" s="1"/>
  <c r="H143" i="11"/>
  <c r="U227" i="1" s="1"/>
  <c r="H136" i="11"/>
  <c r="H135" i="11"/>
  <c r="U220" i="1" s="1"/>
  <c r="H134" i="11"/>
  <c r="U219" i="1" s="1"/>
  <c r="H133" i="11"/>
  <c r="U218" i="1" s="1"/>
  <c r="H132" i="11"/>
  <c r="H131" i="11"/>
  <c r="H130" i="11"/>
  <c r="U215" i="1" s="1"/>
  <c r="H129" i="11"/>
  <c r="U214" i="1" s="1"/>
  <c r="H128" i="11"/>
  <c r="U213" i="1" s="1"/>
  <c r="H127" i="11"/>
  <c r="U212" i="1" s="1"/>
  <c r="H126" i="11"/>
  <c r="U211" i="1" s="1"/>
  <c r="H125" i="11"/>
  <c r="U210" i="1" s="1"/>
  <c r="H123" i="11"/>
  <c r="U208" i="1" s="1"/>
  <c r="H122" i="11"/>
  <c r="U207" i="1" s="1"/>
  <c r="U206" i="1"/>
  <c r="H120" i="11"/>
  <c r="U205" i="1" s="1"/>
  <c r="H119" i="11"/>
  <c r="U204" i="1" s="1"/>
  <c r="H118" i="11"/>
  <c r="U203" i="1" s="1"/>
  <c r="H117" i="11"/>
  <c r="U202" i="1" s="1"/>
  <c r="H116" i="11"/>
  <c r="U201" i="1" s="1"/>
  <c r="H115" i="11"/>
  <c r="U200" i="1" s="1"/>
  <c r="H114" i="11"/>
  <c r="U199" i="1" s="1"/>
  <c r="H113" i="11"/>
  <c r="U198" i="1" s="1"/>
  <c r="H112" i="11"/>
  <c r="U197" i="1" s="1"/>
  <c r="H111" i="11"/>
  <c r="U196" i="1" s="1"/>
  <c r="H110" i="11"/>
  <c r="U195" i="1" s="1"/>
  <c r="H109" i="11"/>
  <c r="U194" i="1" s="1"/>
  <c r="H108" i="11"/>
  <c r="U193" i="1" s="1"/>
  <c r="H107" i="11"/>
  <c r="U192" i="1" s="1"/>
  <c r="H106" i="11"/>
  <c r="U191" i="1" s="1"/>
  <c r="H105" i="11"/>
  <c r="U190" i="1" s="1"/>
  <c r="H104" i="11"/>
  <c r="U189" i="1" s="1"/>
  <c r="H103" i="11"/>
  <c r="U188" i="1" s="1"/>
  <c r="H102" i="11"/>
  <c r="U187" i="1" s="1"/>
  <c r="H101" i="11"/>
  <c r="U186" i="1" s="1"/>
  <c r="H100" i="11"/>
  <c r="U185" i="1" s="1"/>
  <c r="H99" i="11"/>
  <c r="U184" i="1" s="1"/>
  <c r="H98" i="11"/>
  <c r="U183" i="1" s="1"/>
  <c r="H97" i="11"/>
  <c r="U182" i="1" s="1"/>
  <c r="H96" i="11"/>
  <c r="U181" i="1" s="1"/>
  <c r="H95" i="11"/>
  <c r="U180" i="1" s="1"/>
  <c r="H93" i="11"/>
  <c r="U178" i="1" s="1"/>
  <c r="H87" i="11"/>
  <c r="U172" i="1" s="1"/>
  <c r="H86" i="11"/>
  <c r="U171" i="1" s="1"/>
  <c r="H85" i="11"/>
  <c r="U170" i="1" s="1"/>
  <c r="H84" i="11"/>
  <c r="U169" i="1" s="1"/>
  <c r="H83" i="11"/>
  <c r="U168" i="1" s="1"/>
  <c r="H82" i="11"/>
  <c r="U167" i="1" s="1"/>
  <c r="H81" i="11"/>
  <c r="H80" i="11"/>
  <c r="U166" i="1" s="1"/>
  <c r="H79" i="11"/>
  <c r="U165" i="1" s="1"/>
  <c r="H78" i="11"/>
  <c r="H77" i="11"/>
  <c r="U163" i="1" s="1"/>
  <c r="H76" i="11"/>
  <c r="H75" i="11"/>
  <c r="U161" i="1" s="1"/>
  <c r="H74" i="11"/>
  <c r="U160" i="1" s="1"/>
  <c r="H73" i="11"/>
  <c r="U159" i="1" s="1"/>
  <c r="H72" i="11"/>
  <c r="H71" i="11"/>
  <c r="H70" i="11"/>
  <c r="U156" i="1" s="1"/>
  <c r="H69" i="11"/>
  <c r="U155" i="1" s="1"/>
  <c r="H68" i="11"/>
  <c r="U154" i="1" s="1"/>
  <c r="H67" i="11"/>
  <c r="U153" i="1" s="1"/>
  <c r="H66" i="11"/>
  <c r="U152" i="1" s="1"/>
  <c r="H65" i="11"/>
  <c r="U151" i="1" s="1"/>
  <c r="H64" i="11"/>
  <c r="U150" i="1" s="1"/>
  <c r="H63" i="11"/>
  <c r="U149" i="1" s="1"/>
  <c r="H62" i="11"/>
  <c r="U148" i="1" s="1"/>
  <c r="H61" i="11"/>
  <c r="U147" i="1" s="1"/>
  <c r="H60" i="11"/>
  <c r="U146" i="1" s="1"/>
  <c r="H59" i="11"/>
  <c r="U145" i="1" s="1"/>
  <c r="H58" i="11"/>
  <c r="U144" i="1" s="1"/>
  <c r="H57" i="11"/>
  <c r="U143" i="1" s="1"/>
  <c r="H56" i="11"/>
  <c r="U142" i="1" s="1"/>
  <c r="H55" i="11"/>
  <c r="U141" i="1" s="1"/>
  <c r="H54" i="11"/>
  <c r="U140" i="1" s="1"/>
  <c r="H53" i="11"/>
  <c r="U139" i="1" s="1"/>
  <c r="H52" i="11"/>
  <c r="U138" i="1" s="1"/>
  <c r="H51" i="11"/>
  <c r="U137" i="1" s="1"/>
  <c r="H50" i="11"/>
  <c r="U136" i="1" s="1"/>
  <c r="H49" i="11"/>
  <c r="U135" i="1" s="1"/>
  <c r="H48" i="11"/>
  <c r="U134" i="1" s="1"/>
  <c r="H47" i="11"/>
  <c r="U133" i="1" s="1"/>
  <c r="H46" i="11"/>
  <c r="U132" i="1" s="1"/>
  <c r="H45" i="11"/>
  <c r="U131" i="1" s="1"/>
  <c r="H44" i="11"/>
  <c r="U130" i="1" s="1"/>
  <c r="H43" i="11"/>
  <c r="U129" i="1" s="1"/>
  <c r="H42" i="11"/>
  <c r="U128" i="1" s="1"/>
  <c r="H41" i="11"/>
  <c r="U126" i="1" s="1"/>
  <c r="H40" i="11"/>
  <c r="U125" i="1" s="1"/>
  <c r="H39" i="11"/>
  <c r="U124" i="1" s="1"/>
  <c r="H38" i="11"/>
  <c r="U123" i="1" s="1"/>
  <c r="H37" i="11"/>
  <c r="U122" i="1" s="1"/>
  <c r="H36" i="11"/>
  <c r="U121" i="1" s="1"/>
  <c r="H35" i="11"/>
  <c r="U120" i="1" s="1"/>
  <c r="H34" i="11"/>
  <c r="U119" i="1" s="1"/>
  <c r="H33" i="11"/>
  <c r="U118" i="1" s="1"/>
  <c r="H32" i="11"/>
  <c r="U117" i="1" s="1"/>
  <c r="H31" i="11"/>
  <c r="U116" i="1" s="1"/>
  <c r="H30" i="11"/>
  <c r="U115" i="1" s="1"/>
  <c r="H28" i="11"/>
  <c r="U113" i="1" s="1"/>
  <c r="H22" i="11"/>
  <c r="U107" i="1" s="1"/>
  <c r="H21" i="11"/>
  <c r="U106" i="1" s="1"/>
  <c r="H20" i="11"/>
  <c r="U105" i="1" s="1"/>
  <c r="H19" i="11"/>
  <c r="U104" i="1" s="1"/>
  <c r="H18" i="11"/>
  <c r="U103" i="1" s="1"/>
  <c r="H17" i="11"/>
  <c r="U102" i="1" s="1"/>
  <c r="H16" i="11"/>
  <c r="H15" i="11"/>
  <c r="U101" i="1" s="1"/>
  <c r="H14" i="11"/>
  <c r="U100" i="1" s="1"/>
  <c r="H13" i="11"/>
  <c r="U99" i="1" s="1"/>
  <c r="H12" i="11"/>
  <c r="U98" i="1" s="1"/>
  <c r="H11" i="11"/>
  <c r="U97" i="1" s="1"/>
  <c r="H10" i="11"/>
  <c r="U96" i="1" s="1"/>
  <c r="H9" i="11"/>
  <c r="H8" i="11"/>
  <c r="U94" i="1" s="1"/>
  <c r="H7" i="11"/>
  <c r="U93" i="1" s="1"/>
  <c r="H6" i="11"/>
  <c r="U92" i="1" s="1"/>
  <c r="H5" i="11"/>
  <c r="H124" i="11"/>
  <c r="U209" i="1" s="1"/>
  <c r="U6" i="1"/>
  <c r="H1" i="25"/>
  <c r="G1" i="25"/>
  <c r="E1" i="25"/>
  <c r="C4" i="23"/>
  <c r="P360" i="7"/>
  <c r="N388" i="33" s="1"/>
  <c r="P359" i="7"/>
  <c r="N387" i="33" s="1"/>
  <c r="P358" i="7"/>
  <c r="N386" i="33" s="1"/>
  <c r="P357" i="7"/>
  <c r="N385" i="33" s="1"/>
  <c r="P356" i="7"/>
  <c r="N384" i="33" s="1"/>
  <c r="P340" i="7"/>
  <c r="N367" i="33" s="1"/>
  <c r="P339" i="7"/>
  <c r="N361" i="33" s="1"/>
  <c r="P338" i="7"/>
  <c r="N360" i="33" s="1"/>
  <c r="P337" i="7"/>
  <c r="N359" i="33" s="1"/>
  <c r="P336" i="7"/>
  <c r="N358" i="33" s="1"/>
  <c r="P335" i="7"/>
  <c r="N357" i="33" s="1"/>
  <c r="P334" i="7"/>
  <c r="N356" i="33" s="1"/>
  <c r="P333" i="7"/>
  <c r="N355" i="33" s="1"/>
  <c r="P315" i="7"/>
  <c r="N336" i="33" s="1"/>
  <c r="P310" i="7"/>
  <c r="N331" i="33" s="1"/>
  <c r="P282" i="7"/>
  <c r="N305" i="33" s="1"/>
  <c r="P281" i="7"/>
  <c r="N304" i="33" s="1"/>
  <c r="P280" i="7"/>
  <c r="N302" i="33" s="1"/>
  <c r="P279" i="7"/>
  <c r="N301" i="33" s="1"/>
  <c r="P278" i="7"/>
  <c r="N300" i="33" s="1"/>
  <c r="P277" i="7"/>
  <c r="N298" i="33" s="1"/>
  <c r="P276" i="7"/>
  <c r="N297" i="33" s="1"/>
  <c r="P275" i="7"/>
  <c r="N296" i="33" s="1"/>
  <c r="P274" i="7"/>
  <c r="N295" i="33" s="1"/>
  <c r="P273" i="7"/>
  <c r="N294" i="33" s="1"/>
  <c r="P272" i="7"/>
  <c r="N291" i="33" s="1"/>
  <c r="P271" i="7"/>
  <c r="N290" i="33" s="1"/>
  <c r="P270" i="7"/>
  <c r="N289" i="33" s="1"/>
  <c r="P269" i="7"/>
  <c r="N286" i="33" s="1"/>
  <c r="P268" i="7"/>
  <c r="N283" i="33" s="1"/>
  <c r="P267" i="7"/>
  <c r="N282" i="33" s="1"/>
  <c r="P266" i="7"/>
  <c r="N281" i="33" s="1"/>
  <c r="P265" i="7"/>
  <c r="N280" i="33" s="1"/>
  <c r="P264" i="7"/>
  <c r="N277" i="33" s="1"/>
  <c r="P263" i="7"/>
  <c r="N275" i="33" s="1"/>
  <c r="P262" i="7"/>
  <c r="N274" i="33" s="1"/>
  <c r="P261" i="7"/>
  <c r="N273" i="33" s="1"/>
  <c r="P260" i="7"/>
  <c r="N272" i="33" s="1"/>
  <c r="P236" i="7"/>
  <c r="N248" i="33" s="1"/>
  <c r="P231" i="7"/>
  <c r="N243" i="33" s="1"/>
  <c r="P207" i="7"/>
  <c r="P194" i="7"/>
  <c r="N207" i="33" s="1"/>
  <c r="P193" i="7"/>
  <c r="N206" i="33" s="1"/>
  <c r="P192" i="7"/>
  <c r="N205" i="33" s="1"/>
  <c r="P191" i="7"/>
  <c r="N204" i="33" s="1"/>
  <c r="P190" i="7"/>
  <c r="N203" i="33" s="1"/>
  <c r="P189" i="7"/>
  <c r="N202" i="33" s="1"/>
  <c r="P188" i="7"/>
  <c r="P187" i="7"/>
  <c r="N201" i="33" s="1"/>
  <c r="P186" i="7"/>
  <c r="N200" i="33" s="1"/>
  <c r="P185" i="7"/>
  <c r="N198" i="33" s="1"/>
  <c r="P184" i="7"/>
  <c r="N197" i="33" s="1"/>
  <c r="P183" i="7"/>
  <c r="N196" i="33" s="1"/>
  <c r="P182" i="7"/>
  <c r="N195" i="33" s="1"/>
  <c r="P181" i="7"/>
  <c r="N194" i="33" s="1"/>
  <c r="P180" i="7"/>
  <c r="N191" i="33" s="1"/>
  <c r="P179" i="7"/>
  <c r="N190" i="33" s="1"/>
  <c r="P178" i="7"/>
  <c r="N189" i="33" s="1"/>
  <c r="P177" i="7"/>
  <c r="N186" i="33" s="1"/>
  <c r="P176" i="7"/>
  <c r="N183" i="33" s="1"/>
  <c r="P175" i="7"/>
  <c r="N182" i="33" s="1"/>
  <c r="P174" i="7"/>
  <c r="N181" i="33" s="1"/>
  <c r="P173" i="7"/>
  <c r="N180" i="33" s="1"/>
  <c r="P172" i="7"/>
  <c r="N179" i="33" s="1"/>
  <c r="P171" i="7"/>
  <c r="N178" i="33" s="1"/>
  <c r="P170" i="7"/>
  <c r="N177" i="33" s="1"/>
  <c r="P169" i="7"/>
  <c r="N176" i="33" s="1"/>
  <c r="P168" i="7"/>
  <c r="N175" i="33" s="1"/>
  <c r="P167" i="7"/>
  <c r="N174" i="33" s="1"/>
  <c r="P166" i="7"/>
  <c r="N173" i="33" s="1"/>
  <c r="P165" i="7"/>
  <c r="P164" i="7"/>
  <c r="N172" i="33" s="1"/>
  <c r="P163" i="7"/>
  <c r="N171" i="33" s="1"/>
  <c r="P162" i="7"/>
  <c r="N170" i="33" s="1"/>
  <c r="P161" i="7"/>
  <c r="N169" i="33" s="1"/>
  <c r="P160" i="7"/>
  <c r="N168" i="33" s="1"/>
  <c r="P159" i="7"/>
  <c r="N167" i="33" s="1"/>
  <c r="P158" i="7"/>
  <c r="N166" i="33" s="1"/>
  <c r="P157" i="7"/>
  <c r="N165" i="33" s="1"/>
  <c r="P156" i="7"/>
  <c r="N164" i="33" s="1"/>
  <c r="P155" i="7"/>
  <c r="N163" i="33" s="1"/>
  <c r="P134" i="7"/>
  <c r="P128" i="7"/>
  <c r="N137" i="33" s="1"/>
  <c r="P127" i="7"/>
  <c r="N134" i="33" s="1"/>
  <c r="P126" i="7"/>
  <c r="N133" i="33" s="1"/>
  <c r="P125" i="7"/>
  <c r="N129" i="33" s="1"/>
  <c r="P124" i="7"/>
  <c r="N128" i="33" s="1"/>
  <c r="P123" i="7"/>
  <c r="N127" i="33" s="1"/>
  <c r="P122" i="7"/>
  <c r="N126" i="33" s="1"/>
  <c r="P121" i="7"/>
  <c r="N123" i="33" s="1"/>
  <c r="P120" i="7"/>
  <c r="N122" i="33" s="1"/>
  <c r="P119" i="7"/>
  <c r="N121" i="33" s="1"/>
  <c r="P118" i="7"/>
  <c r="N118" i="33" s="1"/>
  <c r="P117" i="7"/>
  <c r="N117" i="33" s="1"/>
  <c r="P114" i="7"/>
  <c r="N114" i="33" s="1"/>
  <c r="P104" i="7"/>
  <c r="N104" i="33" s="1"/>
  <c r="P103" i="7"/>
  <c r="N103" i="33" s="1"/>
  <c r="P93" i="7"/>
  <c r="N93" i="33" s="1"/>
  <c r="P89" i="7"/>
  <c r="N89" i="33" s="1"/>
  <c r="P74" i="7"/>
  <c r="N74" i="33" s="1"/>
  <c r="P61" i="7"/>
  <c r="P51" i="7"/>
  <c r="N52" i="33" s="1"/>
  <c r="P50" i="7"/>
  <c r="N51" i="33" s="1"/>
  <c r="P49" i="7"/>
  <c r="N50" i="33" s="1"/>
  <c r="P48" i="7"/>
  <c r="N49" i="33" s="1"/>
  <c r="P47" i="7"/>
  <c r="N48" i="33" s="1"/>
  <c r="P46" i="7"/>
  <c r="N47" i="33" s="1"/>
  <c r="P45" i="7"/>
  <c r="N46" i="33" s="1"/>
  <c r="P44" i="7"/>
  <c r="N45" i="33" s="1"/>
  <c r="P43" i="7"/>
  <c r="N44" i="33" s="1"/>
  <c r="P42" i="7"/>
  <c r="N43" i="33" s="1"/>
  <c r="P41" i="7"/>
  <c r="N42" i="33" s="1"/>
  <c r="P40" i="7"/>
  <c r="P39" i="7"/>
  <c r="N40" i="33" s="1"/>
  <c r="P38" i="7"/>
  <c r="N39" i="33" s="1"/>
  <c r="P37" i="7"/>
  <c r="N38" i="33" s="1"/>
  <c r="P36" i="7"/>
  <c r="N37" i="33" s="1"/>
  <c r="P35" i="7"/>
  <c r="N36" i="33" s="1"/>
  <c r="P34" i="7"/>
  <c r="N35" i="33" s="1"/>
  <c r="P33" i="7"/>
  <c r="N34" i="33" s="1"/>
  <c r="P32" i="7"/>
  <c r="N33" i="33" s="1"/>
  <c r="T44" i="24"/>
  <c r="T46" i="24" s="1"/>
  <c r="T4" i="24"/>
  <c r="J65" i="24"/>
  <c r="T11" i="24" s="1"/>
  <c r="J60" i="24"/>
  <c r="T10" i="24" s="1"/>
  <c r="J43" i="24"/>
  <c r="T9" i="24" s="1"/>
  <c r="J25" i="24"/>
  <c r="T8" i="24" s="1"/>
  <c r="J20" i="24"/>
  <c r="T6" i="24" s="1"/>
  <c r="J17" i="24"/>
  <c r="G32" i="23"/>
  <c r="H77" i="10"/>
  <c r="U76" i="1" s="1"/>
  <c r="F72" i="10"/>
  <c r="F16" i="10"/>
  <c r="U69" i="1"/>
  <c r="U68" i="1"/>
  <c r="U67" i="1"/>
  <c r="U66" i="1"/>
  <c r="U65" i="1"/>
  <c r="U14" i="1"/>
  <c r="U13" i="1"/>
  <c r="U12" i="1"/>
  <c r="U11" i="1"/>
  <c r="U10" i="1"/>
  <c r="U9" i="1"/>
  <c r="U8" i="1"/>
  <c r="U7" i="1"/>
  <c r="U164" i="1"/>
  <c r="U95" i="1"/>
  <c r="P195" i="7"/>
  <c r="N208" i="33" s="1"/>
  <c r="S90" i="1"/>
  <c r="S69" i="1"/>
  <c r="S68" i="1"/>
  <c r="S67" i="1"/>
  <c r="S66" i="1"/>
  <c r="S65" i="1"/>
  <c r="S14" i="1"/>
  <c r="S13" i="1"/>
  <c r="S12" i="1"/>
  <c r="S11" i="1"/>
  <c r="S10" i="1"/>
  <c r="S9" i="1"/>
  <c r="S8" i="1"/>
  <c r="S7" i="1"/>
  <c r="S6" i="1"/>
  <c r="P4" i="7"/>
  <c r="N3" i="33" s="1"/>
  <c r="N360" i="7"/>
  <c r="N359" i="7"/>
  <c r="N358" i="7"/>
  <c r="N357" i="7"/>
  <c r="N356" i="7"/>
  <c r="N340" i="7"/>
  <c r="N339" i="7"/>
  <c r="N338" i="7"/>
  <c r="N337" i="7"/>
  <c r="N336" i="7"/>
  <c r="N335" i="7"/>
  <c r="N334" i="7"/>
  <c r="N333" i="7"/>
  <c r="N315" i="7"/>
  <c r="N310" i="7"/>
  <c r="N282" i="7"/>
  <c r="N281" i="7"/>
  <c r="N280" i="7"/>
  <c r="N279" i="7"/>
  <c r="N278" i="7"/>
  <c r="N277" i="7"/>
  <c r="N276" i="7"/>
  <c r="N275" i="7"/>
  <c r="N274" i="7"/>
  <c r="N273" i="7"/>
  <c r="N272" i="7"/>
  <c r="N271" i="7"/>
  <c r="N270" i="7"/>
  <c r="N269" i="7"/>
  <c r="N268" i="7"/>
  <c r="N267" i="7"/>
  <c r="N266" i="7"/>
  <c r="N265" i="7"/>
  <c r="N264" i="7"/>
  <c r="N263" i="7"/>
  <c r="N262" i="7"/>
  <c r="N261" i="7"/>
  <c r="N260" i="7"/>
  <c r="N236" i="7"/>
  <c r="N231" i="7"/>
  <c r="N207" i="7"/>
  <c r="N194" i="7"/>
  <c r="N193" i="7"/>
  <c r="N192" i="7"/>
  <c r="N191" i="7"/>
  <c r="N190" i="7"/>
  <c r="N189" i="7"/>
  <c r="N188" i="7"/>
  <c r="N187" i="7"/>
  <c r="N186" i="7"/>
  <c r="N185" i="7"/>
  <c r="N184" i="7"/>
  <c r="N183" i="7"/>
  <c r="N182" i="7"/>
  <c r="N181" i="7"/>
  <c r="N180" i="7"/>
  <c r="N179" i="7"/>
  <c r="N178" i="7"/>
  <c r="N177" i="7"/>
  <c r="N176" i="7"/>
  <c r="N175" i="7"/>
  <c r="N174" i="7"/>
  <c r="N173" i="7"/>
  <c r="N172" i="7"/>
  <c r="N171" i="7"/>
  <c r="N170" i="7"/>
  <c r="N169" i="7"/>
  <c r="N168" i="7"/>
  <c r="N167" i="7"/>
  <c r="N166" i="7"/>
  <c r="N165" i="7"/>
  <c r="N164" i="7"/>
  <c r="N163" i="7"/>
  <c r="N162" i="7"/>
  <c r="N161" i="7"/>
  <c r="N160" i="7"/>
  <c r="N159" i="7"/>
  <c r="N158" i="7"/>
  <c r="N157" i="7"/>
  <c r="N156" i="7"/>
  <c r="N155" i="7"/>
  <c r="N134" i="7"/>
  <c r="N128" i="7"/>
  <c r="N127" i="7"/>
  <c r="N126" i="7"/>
  <c r="N125" i="7"/>
  <c r="N124" i="7"/>
  <c r="N123" i="7"/>
  <c r="N122" i="7"/>
  <c r="N121" i="7"/>
  <c r="N120" i="7"/>
  <c r="N119" i="7"/>
  <c r="N118" i="7"/>
  <c r="N117" i="7"/>
  <c r="N114" i="7"/>
  <c r="N104" i="7"/>
  <c r="N103" i="7"/>
  <c r="N93" i="7"/>
  <c r="N89" i="7"/>
  <c r="N74" i="7"/>
  <c r="N61" i="7"/>
  <c r="P31" i="7"/>
  <c r="N32" i="33" s="1"/>
  <c r="P30" i="7"/>
  <c r="N31" i="33" s="1"/>
  <c r="P29" i="7"/>
  <c r="N29" i="33" s="1"/>
  <c r="P28" i="7"/>
  <c r="N28" i="33" s="1"/>
  <c r="P27" i="7"/>
  <c r="N27" i="33" s="1"/>
  <c r="P26" i="7"/>
  <c r="N26" i="33" s="1"/>
  <c r="P25" i="7"/>
  <c r="N25" i="33" s="1"/>
  <c r="P24" i="7"/>
  <c r="N24" i="33" s="1"/>
  <c r="P23" i="7"/>
  <c r="N23" i="33" s="1"/>
  <c r="P22" i="7"/>
  <c r="N22" i="33" s="1"/>
  <c r="P21" i="7"/>
  <c r="N21" i="33" s="1"/>
  <c r="P20" i="7"/>
  <c r="N20" i="33" s="1"/>
  <c r="P19" i="7"/>
  <c r="N19" i="33" s="1"/>
  <c r="P18" i="7"/>
  <c r="N18" i="33" s="1"/>
  <c r="P17" i="7"/>
  <c r="N17" i="33" s="1"/>
  <c r="P16" i="7"/>
  <c r="N16" i="33" s="1"/>
  <c r="P15" i="7"/>
  <c r="N15" i="33" s="1"/>
  <c r="P14" i="7"/>
  <c r="N14" i="33" s="1"/>
  <c r="P13" i="7"/>
  <c r="N13" i="33" s="1"/>
  <c r="P12" i="7"/>
  <c r="N12" i="33" s="1"/>
  <c r="P11" i="7"/>
  <c r="N11" i="33" s="1"/>
  <c r="P10" i="7"/>
  <c r="N10" i="33" s="1"/>
  <c r="P9" i="7"/>
  <c r="N9" i="33" s="1"/>
  <c r="P8" i="7"/>
  <c r="N7" i="33" s="1"/>
  <c r="P7" i="7"/>
  <c r="N6" i="33" s="1"/>
  <c r="P6" i="7"/>
  <c r="N5" i="33" s="1"/>
  <c r="P5" i="7"/>
  <c r="N4" i="33" s="1"/>
  <c r="N355" i="7"/>
  <c r="N354" i="7"/>
  <c r="N353" i="7"/>
  <c r="N352" i="7"/>
  <c r="N351" i="7"/>
  <c r="N350" i="7"/>
  <c r="N349" i="7"/>
  <c r="N348" i="7"/>
  <c r="N347" i="7"/>
  <c r="N346" i="7"/>
  <c r="N345" i="7"/>
  <c r="N344" i="7"/>
  <c r="N343" i="7"/>
  <c r="N342" i="7"/>
  <c r="N341" i="7"/>
  <c r="N332" i="7"/>
  <c r="N331" i="7"/>
  <c r="N330" i="7"/>
  <c r="N329" i="7"/>
  <c r="N328" i="7"/>
  <c r="N327" i="7"/>
  <c r="N326" i="7"/>
  <c r="N325" i="7"/>
  <c r="N324" i="7"/>
  <c r="N323" i="7"/>
  <c r="N322" i="7"/>
  <c r="N321" i="7"/>
  <c r="N320" i="7"/>
  <c r="N319" i="7"/>
  <c r="N318" i="7"/>
  <c r="N317" i="7"/>
  <c r="N316" i="7"/>
  <c r="N314" i="7"/>
  <c r="N313" i="7"/>
  <c r="N312" i="7"/>
  <c r="N311" i="7"/>
  <c r="N309" i="7"/>
  <c r="N308" i="7"/>
  <c r="N307" i="7"/>
  <c r="N306" i="7"/>
  <c r="N305" i="7"/>
  <c r="N304" i="7"/>
  <c r="N303" i="7"/>
  <c r="N302" i="7"/>
  <c r="N301" i="7"/>
  <c r="N300" i="7"/>
  <c r="N299" i="7"/>
  <c r="N298" i="7"/>
  <c r="N297" i="7"/>
  <c r="N296" i="7"/>
  <c r="N295" i="7"/>
  <c r="N294" i="7"/>
  <c r="N293" i="7"/>
  <c r="N292" i="7"/>
  <c r="N291" i="7"/>
  <c r="N290" i="7"/>
  <c r="N289" i="7"/>
  <c r="N288" i="7"/>
  <c r="N287" i="7"/>
  <c r="N286" i="7"/>
  <c r="N285" i="7"/>
  <c r="N284" i="7"/>
  <c r="N283" i="7"/>
  <c r="N259" i="7"/>
  <c r="N258" i="7"/>
  <c r="N257" i="7"/>
  <c r="N256" i="7"/>
  <c r="N255" i="7"/>
  <c r="N254" i="7"/>
  <c r="N253" i="7"/>
  <c r="N252" i="7"/>
  <c r="N251" i="7"/>
  <c r="N249" i="7"/>
  <c r="N248" i="7"/>
  <c r="N247" i="7"/>
  <c r="N246" i="7"/>
  <c r="N245" i="7"/>
  <c r="N244" i="7"/>
  <c r="N243" i="7"/>
  <c r="N242" i="7"/>
  <c r="N241" i="7"/>
  <c r="N250" i="7"/>
  <c r="N240" i="7"/>
  <c r="N239" i="7"/>
  <c r="N238" i="7"/>
  <c r="N237" i="7"/>
  <c r="N235" i="7"/>
  <c r="N234" i="7"/>
  <c r="N233" i="7"/>
  <c r="N232" i="7"/>
  <c r="N230" i="7"/>
  <c r="N229" i="7"/>
  <c r="N228" i="7"/>
  <c r="N227" i="7"/>
  <c r="N226" i="7"/>
  <c r="N225" i="7"/>
  <c r="N224" i="7"/>
  <c r="N223" i="7"/>
  <c r="N222" i="7"/>
  <c r="N221" i="7"/>
  <c r="N220" i="7"/>
  <c r="N219" i="7"/>
  <c r="N218" i="7"/>
  <c r="N217" i="7"/>
  <c r="N216" i="7"/>
  <c r="N215" i="7"/>
  <c r="N214" i="7"/>
  <c r="N213" i="7"/>
  <c r="N212" i="7"/>
  <c r="N211" i="7"/>
  <c r="N210" i="7"/>
  <c r="N209" i="7"/>
  <c r="N208" i="7"/>
  <c r="N206" i="7"/>
  <c r="N205" i="7"/>
  <c r="N204" i="7"/>
  <c r="N203" i="7"/>
  <c r="N202" i="7"/>
  <c r="N201" i="7"/>
  <c r="N200" i="7"/>
  <c r="N199" i="7"/>
  <c r="N198" i="7"/>
  <c r="N197" i="7"/>
  <c r="N196" i="7"/>
  <c r="N195" i="7"/>
  <c r="N154" i="7"/>
  <c r="N153" i="7"/>
  <c r="N152" i="7"/>
  <c r="N151" i="7"/>
  <c r="N150" i="7"/>
  <c r="N149" i="7"/>
  <c r="N148" i="7"/>
  <c r="N147" i="7"/>
  <c r="N146" i="7"/>
  <c r="N145" i="7"/>
  <c r="N144" i="7"/>
  <c r="N143" i="7"/>
  <c r="N142" i="7"/>
  <c r="N139" i="7"/>
  <c r="N137" i="7"/>
  <c r="N136" i="7"/>
  <c r="N135" i="7"/>
  <c r="N133" i="7"/>
  <c r="N132" i="7"/>
  <c r="N131" i="7"/>
  <c r="N130" i="7"/>
  <c r="N129" i="7"/>
  <c r="N116" i="7"/>
  <c r="N115" i="7"/>
  <c r="N113" i="7"/>
  <c r="N112" i="7"/>
  <c r="N111" i="7"/>
  <c r="N110" i="7"/>
  <c r="N109" i="7"/>
  <c r="N108" i="7"/>
  <c r="N107" i="7"/>
  <c r="N106" i="7"/>
  <c r="N105" i="7"/>
  <c r="N102" i="7"/>
  <c r="N101" i="7"/>
  <c r="N100" i="7"/>
  <c r="N99" i="7"/>
  <c r="N98" i="7"/>
  <c r="N97" i="7"/>
  <c r="N96" i="7"/>
  <c r="N95" i="7"/>
  <c r="N94" i="7"/>
  <c r="N92" i="7"/>
  <c r="N91" i="7"/>
  <c r="N90" i="7"/>
  <c r="N88" i="7"/>
  <c r="N87" i="7"/>
  <c r="N86" i="7"/>
  <c r="N85" i="7"/>
  <c r="N84" i="7"/>
  <c r="N83" i="7"/>
  <c r="N82" i="7"/>
  <c r="N81" i="7"/>
  <c r="N80" i="7"/>
  <c r="N79" i="7"/>
  <c r="N78" i="7"/>
  <c r="N77" i="7"/>
  <c r="N76" i="7"/>
  <c r="N75" i="7"/>
  <c r="N73" i="7"/>
  <c r="N72" i="7"/>
  <c r="N71" i="7"/>
  <c r="N70" i="7"/>
  <c r="N69" i="7"/>
  <c r="N68" i="7"/>
  <c r="N67" i="7"/>
  <c r="N66" i="7"/>
  <c r="N65" i="7"/>
  <c r="N64" i="7"/>
  <c r="N63" i="7"/>
  <c r="N62" i="7"/>
  <c r="N60" i="7"/>
  <c r="N59" i="7"/>
  <c r="N58" i="7"/>
  <c r="N57" i="7"/>
  <c r="N56" i="7"/>
  <c r="N55" i="7"/>
  <c r="N54" i="7"/>
  <c r="N53" i="7"/>
  <c r="N52" i="7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U91" i="1" l="1"/>
  <c r="U162" i="1"/>
  <c r="O330" i="7"/>
  <c r="M352" i="33" s="1"/>
  <c r="O256" i="7"/>
  <c r="M268" i="33" s="1"/>
  <c r="P352" i="7"/>
  <c r="N380" i="33" s="1"/>
  <c r="P351" i="7"/>
  <c r="N379" i="33" s="1"/>
  <c r="P349" i="7"/>
  <c r="N377" i="33" s="1"/>
  <c r="P342" i="7"/>
  <c r="N369" i="33" s="1"/>
  <c r="P341" i="7"/>
  <c r="N368" i="33" s="1"/>
  <c r="P329" i="7"/>
  <c r="N351" i="33" s="1"/>
  <c r="P328" i="7"/>
  <c r="N350" i="33" s="1"/>
  <c r="P327" i="7"/>
  <c r="N349" i="33" s="1"/>
  <c r="P322" i="7"/>
  <c r="N343" i="33" s="1"/>
  <c r="P321" i="7"/>
  <c r="N342" i="33" s="1"/>
  <c r="P320" i="7"/>
  <c r="N341" i="33" s="1"/>
  <c r="P319" i="7"/>
  <c r="N340" i="33" s="1"/>
  <c r="P314" i="7"/>
  <c r="N335" i="33" s="1"/>
  <c r="P313" i="7"/>
  <c r="N334" i="33" s="1"/>
  <c r="P311" i="7"/>
  <c r="N332" i="33" s="1"/>
  <c r="P309" i="7"/>
  <c r="N330" i="33" s="1"/>
  <c r="P305" i="7"/>
  <c r="N326" i="33" s="1"/>
  <c r="P304" i="7"/>
  <c r="P302" i="7"/>
  <c r="N324" i="33" s="1"/>
  <c r="P301" i="7"/>
  <c r="N323" i="33" s="1"/>
  <c r="P297" i="7"/>
  <c r="N319" i="33" s="1"/>
  <c r="P296" i="7"/>
  <c r="P293" i="7"/>
  <c r="N316" i="33" s="1"/>
  <c r="P287" i="7"/>
  <c r="N310" i="33" s="1"/>
  <c r="P284" i="7"/>
  <c r="N307" i="33" s="1"/>
  <c r="P258" i="7"/>
  <c r="N270" i="33" s="1"/>
  <c r="P255" i="7"/>
  <c r="N267" i="33" s="1"/>
  <c r="P254" i="7"/>
  <c r="N266" i="33" s="1"/>
  <c r="P249" i="7"/>
  <c r="N262" i="33" s="1"/>
  <c r="P247" i="7"/>
  <c r="N260" i="33" s="1"/>
  <c r="P243" i="7"/>
  <c r="N256" i="33" s="1"/>
  <c r="P241" i="7"/>
  <c r="N254" i="33" s="1"/>
  <c r="P250" i="7"/>
  <c r="N253" i="33" s="1"/>
  <c r="P237" i="7"/>
  <c r="N249" i="33" s="1"/>
  <c r="P235" i="7"/>
  <c r="N247" i="33" s="1"/>
  <c r="P233" i="7"/>
  <c r="N245" i="33" s="1"/>
  <c r="P232" i="7"/>
  <c r="N244" i="33" s="1"/>
  <c r="P227" i="7"/>
  <c r="N238" i="33" s="1"/>
  <c r="P226" i="7"/>
  <c r="N237" i="33" s="1"/>
  <c r="P224" i="7"/>
  <c r="N235" i="33" s="1"/>
  <c r="P223" i="7"/>
  <c r="N234" i="33" s="1"/>
  <c r="P219" i="7"/>
  <c r="N230" i="33" s="1"/>
  <c r="P218" i="7"/>
  <c r="N229" i="33" s="1"/>
  <c r="P216" i="7"/>
  <c r="N228" i="33" s="1"/>
  <c r="P208" i="7"/>
  <c r="N220" i="33" s="1"/>
  <c r="P206" i="7"/>
  <c r="N219" i="33" s="1"/>
  <c r="P205" i="7"/>
  <c r="N218" i="33" s="1"/>
  <c r="P204" i="7"/>
  <c r="N217" i="33" s="1"/>
  <c r="P203" i="7"/>
  <c r="N216" i="33" s="1"/>
  <c r="P202" i="7"/>
  <c r="N215" i="33" s="1"/>
  <c r="P201" i="7"/>
  <c r="N214" i="33" s="1"/>
  <c r="P199" i="7"/>
  <c r="N212" i="33" s="1"/>
  <c r="P198" i="7"/>
  <c r="N211" i="33" s="1"/>
  <c r="P197" i="7"/>
  <c r="N210" i="33" s="1"/>
  <c r="P286" i="7"/>
  <c r="N309" i="33" s="1"/>
  <c r="P285" i="7"/>
  <c r="N308" i="33" s="1"/>
  <c r="P200" i="7"/>
  <c r="N213" i="33" s="1"/>
  <c r="P154" i="7"/>
  <c r="N162" i="33" s="1"/>
  <c r="P153" i="7"/>
  <c r="N161" i="33" s="1"/>
  <c r="P151" i="7"/>
  <c r="N159" i="33" s="1"/>
  <c r="P150" i="7"/>
  <c r="N158" i="33" s="1"/>
  <c r="P149" i="7"/>
  <c r="N157" i="33" s="1"/>
  <c r="P148" i="7"/>
  <c r="N156" i="33" s="1"/>
  <c r="P147" i="7"/>
  <c r="N155" i="33" s="1"/>
  <c r="P146" i="7"/>
  <c r="N154" i="33" s="1"/>
  <c r="P145" i="7"/>
  <c r="N153" i="33" s="1"/>
  <c r="P144" i="7"/>
  <c r="N152" i="33" s="1"/>
  <c r="P143" i="7"/>
  <c r="N151" i="33" s="1"/>
  <c r="P142" i="7"/>
  <c r="N150" i="33" s="1"/>
  <c r="P116" i="7"/>
  <c r="N116" i="33" s="1"/>
  <c r="P115" i="7"/>
  <c r="N115" i="33" s="1"/>
  <c r="P113" i="7"/>
  <c r="N113" i="33" s="1"/>
  <c r="P110" i="7"/>
  <c r="N110" i="33" s="1"/>
  <c r="P109" i="7"/>
  <c r="N109" i="33" s="1"/>
  <c r="P108" i="7"/>
  <c r="N108" i="33" s="1"/>
  <c r="P107" i="7"/>
  <c r="N107" i="33" s="1"/>
  <c r="P106" i="7"/>
  <c r="N106" i="33" s="1"/>
  <c r="P105" i="7"/>
  <c r="N105" i="33" s="1"/>
  <c r="P102" i="7"/>
  <c r="N102" i="33" s="1"/>
  <c r="P101" i="7"/>
  <c r="N101" i="33" s="1"/>
  <c r="P100" i="7"/>
  <c r="N100" i="33" s="1"/>
  <c r="P99" i="7"/>
  <c r="N99" i="33" s="1"/>
  <c r="P98" i="7"/>
  <c r="N98" i="33" s="1"/>
  <c r="P97" i="7"/>
  <c r="N97" i="33" s="1"/>
  <c r="P96" i="7"/>
  <c r="N96" i="33" s="1"/>
  <c r="P95" i="7"/>
  <c r="N95" i="33" s="1"/>
  <c r="P94" i="7"/>
  <c r="N94" i="33" s="1"/>
  <c r="P92" i="7"/>
  <c r="N92" i="33" s="1"/>
  <c r="P91" i="7"/>
  <c r="N91" i="33" s="1"/>
  <c r="P90" i="7"/>
  <c r="N90" i="33" s="1"/>
  <c r="P88" i="7"/>
  <c r="N88" i="33" s="1"/>
  <c r="P87" i="7"/>
  <c r="N87" i="33" s="1"/>
  <c r="P86" i="7"/>
  <c r="N86" i="33" s="1"/>
  <c r="P85" i="7"/>
  <c r="N85" i="33" s="1"/>
  <c r="P84" i="7"/>
  <c r="N84" i="33" s="1"/>
  <c r="P83" i="7"/>
  <c r="N83" i="33" s="1"/>
  <c r="P82" i="7"/>
  <c r="N82" i="33" s="1"/>
  <c r="P81" i="7"/>
  <c r="N81" i="33" s="1"/>
  <c r="P80" i="7"/>
  <c r="N80" i="33" s="1"/>
  <c r="P79" i="7"/>
  <c r="N79" i="33" s="1"/>
  <c r="P78" i="7"/>
  <c r="N78" i="33" s="1"/>
  <c r="P77" i="7"/>
  <c r="N77" i="33" s="1"/>
  <c r="P76" i="7"/>
  <c r="N76" i="33" s="1"/>
  <c r="P75" i="7"/>
  <c r="N75" i="33" s="1"/>
  <c r="P73" i="7"/>
  <c r="N73" i="33" s="1"/>
  <c r="P72" i="7"/>
  <c r="N72" i="33" s="1"/>
  <c r="P71" i="7"/>
  <c r="N71" i="33" s="1"/>
  <c r="P70" i="7"/>
  <c r="N70" i="33" s="1"/>
  <c r="P69" i="7"/>
  <c r="N69" i="33" s="1"/>
  <c r="P67" i="7"/>
  <c r="N67" i="33" s="1"/>
  <c r="P141" i="7"/>
  <c r="N149" i="33" s="1"/>
  <c r="P133" i="7"/>
  <c r="N142" i="33" s="1"/>
  <c r="P132" i="7"/>
  <c r="N141" i="33" s="1"/>
  <c r="P131" i="7"/>
  <c r="N140" i="33" s="1"/>
  <c r="P130" i="7"/>
  <c r="N139" i="33" s="1"/>
  <c r="P129" i="7"/>
  <c r="N138" i="33" s="1"/>
  <c r="P60" i="7"/>
  <c r="N61" i="33" s="1"/>
  <c r="P59" i="7"/>
  <c r="N60" i="33" s="1"/>
  <c r="P58" i="7"/>
  <c r="N59" i="33" s="1"/>
  <c r="P57" i="7"/>
  <c r="N58" i="33" s="1"/>
  <c r="P56" i="7"/>
  <c r="N57" i="33" s="1"/>
  <c r="P55" i="7"/>
  <c r="N56" i="33" s="1"/>
  <c r="P54" i="7"/>
  <c r="N55" i="33" s="1"/>
  <c r="P53" i="7"/>
  <c r="N54" i="33" s="1"/>
  <c r="O203" i="7"/>
  <c r="M216" i="33" s="1"/>
  <c r="O341" i="7"/>
  <c r="M368" i="33" s="1"/>
  <c r="O332" i="7"/>
  <c r="M354" i="33" s="1"/>
  <c r="O283" i="7"/>
  <c r="M306" i="33" s="1"/>
  <c r="O214" i="7"/>
  <c r="M226" i="33" s="1"/>
  <c r="O292" i="7"/>
  <c r="M315" i="33" s="1"/>
  <c r="O354" i="7"/>
  <c r="M382" i="33" s="1"/>
  <c r="O232" i="7"/>
  <c r="M244" i="33" s="1"/>
  <c r="O319" i="7"/>
  <c r="M340" i="33" s="1"/>
  <c r="O224" i="7"/>
  <c r="M235" i="33" s="1"/>
  <c r="O302" i="7"/>
  <c r="M324" i="33" s="1"/>
  <c r="O240" i="7"/>
  <c r="M252" i="33" s="1"/>
  <c r="O346" i="7"/>
  <c r="M373" i="33" s="1"/>
  <c r="O223" i="7"/>
  <c r="M234" i="33" s="1"/>
  <c r="O284" i="7"/>
  <c r="M307" i="33" s="1"/>
  <c r="O326" i="7"/>
  <c r="M347" i="33" s="1"/>
  <c r="O197" i="7"/>
  <c r="M210" i="33" s="1"/>
  <c r="O233" i="7"/>
  <c r="M245" i="33" s="1"/>
  <c r="O320" i="7"/>
  <c r="M341" i="33" s="1"/>
  <c r="O198" i="7"/>
  <c r="M211" i="33" s="1"/>
  <c r="O206" i="7"/>
  <c r="M219" i="33" s="1"/>
  <c r="O209" i="7"/>
  <c r="M221" i="33" s="1"/>
  <c r="O217" i="7"/>
  <c r="O225" i="7"/>
  <c r="M236" i="33" s="1"/>
  <c r="O234" i="7"/>
  <c r="M246" i="33" s="1"/>
  <c r="O242" i="7"/>
  <c r="M255" i="33" s="1"/>
  <c r="O248" i="7"/>
  <c r="M261" i="33" s="1"/>
  <c r="O286" i="7"/>
  <c r="M309" i="33" s="1"/>
  <c r="O295" i="7"/>
  <c r="M318" i="33" s="1"/>
  <c r="O303" i="7"/>
  <c r="M325" i="33" s="1"/>
  <c r="O312" i="7"/>
  <c r="M333" i="33" s="1"/>
  <c r="O321" i="7"/>
  <c r="M342" i="33" s="1"/>
  <c r="O327" i="7"/>
  <c r="M349" i="33" s="1"/>
  <c r="O342" i="7"/>
  <c r="M369" i="33" s="1"/>
  <c r="O349" i="7"/>
  <c r="M377" i="33" s="1"/>
  <c r="O253" i="7"/>
  <c r="M265" i="33" s="1"/>
  <c r="O308" i="7"/>
  <c r="M329" i="33" s="1"/>
  <c r="O196" i="7"/>
  <c r="M209" i="33" s="1"/>
  <c r="O247" i="7"/>
  <c r="M260" i="33" s="1"/>
  <c r="O347" i="7"/>
  <c r="M374" i="33" s="1"/>
  <c r="O205" i="7"/>
  <c r="M218" i="33" s="1"/>
  <c r="O241" i="7"/>
  <c r="M254" i="33" s="1"/>
  <c r="O199" i="7"/>
  <c r="M212" i="33" s="1"/>
  <c r="O210" i="7"/>
  <c r="M222" i="33" s="1"/>
  <c r="O218" i="7"/>
  <c r="M229" i="33" s="1"/>
  <c r="O226" i="7"/>
  <c r="M237" i="33" s="1"/>
  <c r="O235" i="7"/>
  <c r="M247" i="33" s="1"/>
  <c r="O243" i="7"/>
  <c r="M256" i="33" s="1"/>
  <c r="O249" i="7"/>
  <c r="M262" i="33" s="1"/>
  <c r="O287" i="7"/>
  <c r="M310" i="33" s="1"/>
  <c r="O288" i="7"/>
  <c r="M311" i="33" s="1"/>
  <c r="O296" i="7"/>
  <c r="O304" i="7"/>
  <c r="O313" i="7"/>
  <c r="M334" i="33" s="1"/>
  <c r="O328" i="7"/>
  <c r="M350" i="33" s="1"/>
  <c r="O350" i="7"/>
  <c r="M378" i="33" s="1"/>
  <c r="O222" i="7"/>
  <c r="M233" i="33" s="1"/>
  <c r="O300" i="7"/>
  <c r="M322" i="33" s="1"/>
  <c r="O204" i="7"/>
  <c r="M217" i="33" s="1"/>
  <c r="O254" i="7"/>
  <c r="M266" i="33" s="1"/>
  <c r="O309" i="7"/>
  <c r="M330" i="33" s="1"/>
  <c r="O216" i="7"/>
  <c r="M228" i="33" s="1"/>
  <c r="O294" i="7"/>
  <c r="M317" i="33" s="1"/>
  <c r="O348" i="7"/>
  <c r="M376" i="33" s="1"/>
  <c r="O200" i="7"/>
  <c r="M213" i="33" s="1"/>
  <c r="O208" i="7"/>
  <c r="M220" i="33" s="1"/>
  <c r="O211" i="7"/>
  <c r="M223" i="33" s="1"/>
  <c r="O219" i="7"/>
  <c r="M230" i="33" s="1"/>
  <c r="O227" i="7"/>
  <c r="M238" i="33" s="1"/>
  <c r="O237" i="7"/>
  <c r="M249" i="33" s="1"/>
  <c r="O258" i="7"/>
  <c r="M270" i="33" s="1"/>
  <c r="O289" i="7"/>
  <c r="M312" i="33" s="1"/>
  <c r="O297" i="7"/>
  <c r="M319" i="33" s="1"/>
  <c r="O305" i="7"/>
  <c r="M326" i="33" s="1"/>
  <c r="O314" i="7"/>
  <c r="M335" i="33" s="1"/>
  <c r="O322" i="7"/>
  <c r="M343" i="33" s="1"/>
  <c r="O343" i="7"/>
  <c r="M370" i="33" s="1"/>
  <c r="O351" i="7"/>
  <c r="M379" i="33" s="1"/>
  <c r="O195" i="7"/>
  <c r="M208" i="33" s="1"/>
  <c r="O230" i="7"/>
  <c r="M242" i="33" s="1"/>
  <c r="O325" i="7"/>
  <c r="M346" i="33" s="1"/>
  <c r="O250" i="7"/>
  <c r="M253" i="33" s="1"/>
  <c r="O293" i="7"/>
  <c r="M316" i="33" s="1"/>
  <c r="O255" i="7"/>
  <c r="M267" i="33" s="1"/>
  <c r="O311" i="7"/>
  <c r="M332" i="33" s="1"/>
  <c r="O201" i="7"/>
  <c r="M214" i="33" s="1"/>
  <c r="O212" i="7"/>
  <c r="M224" i="33" s="1"/>
  <c r="O220" i="7"/>
  <c r="M231" i="33" s="1"/>
  <c r="O228" i="7"/>
  <c r="M240" i="33" s="1"/>
  <c r="O238" i="7"/>
  <c r="M250" i="33" s="1"/>
  <c r="O244" i="7"/>
  <c r="M257" i="33" s="1"/>
  <c r="O251" i="7"/>
  <c r="M263" i="33" s="1"/>
  <c r="O290" i="7"/>
  <c r="M313" i="33" s="1"/>
  <c r="O298" i="7"/>
  <c r="M320" i="33" s="1"/>
  <c r="O306" i="7"/>
  <c r="M327" i="33" s="1"/>
  <c r="O316" i="7"/>
  <c r="M337" i="33" s="1"/>
  <c r="O323" i="7"/>
  <c r="M344" i="33" s="1"/>
  <c r="O329" i="7"/>
  <c r="M351" i="33" s="1"/>
  <c r="O344" i="7"/>
  <c r="M371" i="33" s="1"/>
  <c r="O352" i="7"/>
  <c r="M380" i="33" s="1"/>
  <c r="O246" i="7"/>
  <c r="M259" i="33" s="1"/>
  <c r="O318" i="7"/>
  <c r="M339" i="33" s="1"/>
  <c r="O285" i="7"/>
  <c r="M308" i="33" s="1"/>
  <c r="O215" i="7"/>
  <c r="M227" i="33" s="1"/>
  <c r="O301" i="7"/>
  <c r="M323" i="33" s="1"/>
  <c r="O202" i="7"/>
  <c r="M215" i="33" s="1"/>
  <c r="O213" i="7"/>
  <c r="M225" i="33" s="1"/>
  <c r="O221" i="7"/>
  <c r="M232" i="33" s="1"/>
  <c r="O229" i="7"/>
  <c r="M241" i="33" s="1"/>
  <c r="O239" i="7"/>
  <c r="M251" i="33" s="1"/>
  <c r="O245" i="7"/>
  <c r="M258" i="33" s="1"/>
  <c r="O252" i="7"/>
  <c r="M264" i="33" s="1"/>
  <c r="O259" i="7"/>
  <c r="M271" i="33" s="1"/>
  <c r="O291" i="7"/>
  <c r="M314" i="33" s="1"/>
  <c r="O299" i="7"/>
  <c r="M321" i="33" s="1"/>
  <c r="O307" i="7"/>
  <c r="M328" i="33" s="1"/>
  <c r="O317" i="7"/>
  <c r="M338" i="33" s="1"/>
  <c r="O324" i="7"/>
  <c r="M345" i="33" s="1"/>
  <c r="O345" i="7"/>
  <c r="M372" i="33" s="1"/>
  <c r="O353" i="7"/>
  <c r="M381" i="33" s="1"/>
  <c r="O65" i="7"/>
  <c r="M65" i="33" s="1"/>
  <c r="O138" i="7"/>
  <c r="M146" i="33" s="1"/>
  <c r="O57" i="7"/>
  <c r="M58" i="33" s="1"/>
  <c r="O133" i="7"/>
  <c r="M142" i="33" s="1"/>
  <c r="O64" i="7"/>
  <c r="M64" i="33" s="1"/>
  <c r="O72" i="7"/>
  <c r="M72" i="33" s="1"/>
  <c r="O81" i="7"/>
  <c r="M81" i="33" s="1"/>
  <c r="O90" i="7"/>
  <c r="M90" i="33" s="1"/>
  <c r="O99" i="7"/>
  <c r="M99" i="33" s="1"/>
  <c r="O109" i="7"/>
  <c r="M109" i="33" s="1"/>
  <c r="O137" i="7"/>
  <c r="M145" i="33" s="1"/>
  <c r="O147" i="7"/>
  <c r="M155" i="33" s="1"/>
  <c r="O82" i="7"/>
  <c r="M82" i="33" s="1"/>
  <c r="O59" i="7"/>
  <c r="M60" i="33" s="1"/>
  <c r="P52" i="7"/>
  <c r="N53" i="33" s="1"/>
  <c r="O66" i="7"/>
  <c r="M66" i="33" s="1"/>
  <c r="O75" i="7"/>
  <c r="M75" i="33" s="1"/>
  <c r="O83" i="7"/>
  <c r="M83" i="33" s="1"/>
  <c r="O92" i="7"/>
  <c r="M92" i="33" s="1"/>
  <c r="O101" i="7"/>
  <c r="M101" i="33" s="1"/>
  <c r="O139" i="7"/>
  <c r="M147" i="33" s="1"/>
  <c r="O149" i="7"/>
  <c r="M157" i="33" s="1"/>
  <c r="O58" i="7"/>
  <c r="M59" i="33" s="1"/>
  <c r="O91" i="7"/>
  <c r="M91" i="33" s="1"/>
  <c r="O52" i="7"/>
  <c r="M53" i="33" s="1"/>
  <c r="O60" i="7"/>
  <c r="M61" i="33" s="1"/>
  <c r="O67" i="7"/>
  <c r="M67" i="33" s="1"/>
  <c r="O76" i="7"/>
  <c r="M76" i="33" s="1"/>
  <c r="O84" i="7"/>
  <c r="M84" i="33" s="1"/>
  <c r="O94" i="7"/>
  <c r="M94" i="33" s="1"/>
  <c r="O102" i="7"/>
  <c r="M102" i="33" s="1"/>
  <c r="O113" i="7"/>
  <c r="M113" i="33" s="1"/>
  <c r="O142" i="7"/>
  <c r="M150" i="33" s="1"/>
  <c r="O150" i="7"/>
  <c r="M158" i="33" s="1"/>
  <c r="O53" i="7"/>
  <c r="M54" i="33" s="1"/>
  <c r="O129" i="7"/>
  <c r="M138" i="33" s="1"/>
  <c r="O68" i="7"/>
  <c r="M68" i="33" s="1"/>
  <c r="O77" i="7"/>
  <c r="M77" i="33" s="1"/>
  <c r="O85" i="7"/>
  <c r="M85" i="33" s="1"/>
  <c r="O95" i="7"/>
  <c r="M95" i="33" s="1"/>
  <c r="O105" i="7"/>
  <c r="M105" i="33" s="1"/>
  <c r="O115" i="7"/>
  <c r="M115" i="33" s="1"/>
  <c r="O143" i="7"/>
  <c r="M151" i="33" s="1"/>
  <c r="O151" i="7"/>
  <c r="M159" i="33" s="1"/>
  <c r="O73" i="7"/>
  <c r="M73" i="33" s="1"/>
  <c r="O148" i="7"/>
  <c r="M156" i="33" s="1"/>
  <c r="O54" i="7"/>
  <c r="M55" i="33" s="1"/>
  <c r="O130" i="7"/>
  <c r="M139" i="33" s="1"/>
  <c r="O69" i="7"/>
  <c r="M69" i="33" s="1"/>
  <c r="O78" i="7"/>
  <c r="M78" i="33" s="1"/>
  <c r="O86" i="7"/>
  <c r="M86" i="33" s="1"/>
  <c r="O96" i="7"/>
  <c r="M96" i="33" s="1"/>
  <c r="O106" i="7"/>
  <c r="M106" i="33" s="1"/>
  <c r="O116" i="7"/>
  <c r="M116" i="33" s="1"/>
  <c r="O144" i="7"/>
  <c r="M152" i="33" s="1"/>
  <c r="O153" i="7"/>
  <c r="M161" i="33" s="1"/>
  <c r="O110" i="7"/>
  <c r="M110" i="33" s="1"/>
  <c r="O55" i="7"/>
  <c r="M56" i="33" s="1"/>
  <c r="O131" i="7"/>
  <c r="M140" i="33" s="1"/>
  <c r="O62" i="7"/>
  <c r="M62" i="33" s="1"/>
  <c r="O70" i="7"/>
  <c r="M70" i="33" s="1"/>
  <c r="O79" i="7"/>
  <c r="M79" i="33" s="1"/>
  <c r="O87" i="7"/>
  <c r="M87" i="33" s="1"/>
  <c r="O97" i="7"/>
  <c r="M97" i="33" s="1"/>
  <c r="O107" i="7"/>
  <c r="M107" i="33" s="1"/>
  <c r="O135" i="7"/>
  <c r="M143" i="33" s="1"/>
  <c r="O145" i="7"/>
  <c r="M153" i="33" s="1"/>
  <c r="O154" i="7"/>
  <c r="M162" i="33" s="1"/>
  <c r="O100" i="7"/>
  <c r="M100" i="33" s="1"/>
  <c r="O56" i="7"/>
  <c r="M57" i="33" s="1"/>
  <c r="O132" i="7"/>
  <c r="M141" i="33" s="1"/>
  <c r="O63" i="7"/>
  <c r="M63" i="33" s="1"/>
  <c r="O71" i="7"/>
  <c r="M71" i="33" s="1"/>
  <c r="O80" i="7"/>
  <c r="M80" i="33" s="1"/>
  <c r="O88" i="7"/>
  <c r="M88" i="33" s="1"/>
  <c r="O98" i="7"/>
  <c r="M98" i="33" s="1"/>
  <c r="O108" i="7"/>
  <c r="M108" i="33" s="1"/>
  <c r="O136" i="7"/>
  <c r="M144" i="33" s="1"/>
  <c r="O146" i="7"/>
  <c r="M154" i="33" s="1"/>
  <c r="K67" i="24"/>
  <c r="O355" i="7"/>
  <c r="M383" i="33" s="1"/>
  <c r="U22" i="24"/>
  <c r="O331" i="7"/>
  <c r="M353" i="33" s="1"/>
  <c r="U21" i="24"/>
  <c r="O257" i="7"/>
  <c r="M269" i="33" s="1"/>
  <c r="U20" i="24"/>
  <c r="O152" i="7"/>
  <c r="M160" i="33" s="1"/>
  <c r="U19" i="24"/>
  <c r="O111" i="7"/>
  <c r="M111" i="33" s="1"/>
  <c r="U17" i="24"/>
  <c r="U7" i="24"/>
  <c r="K1" i="24"/>
  <c r="F1" i="25"/>
  <c r="T23" i="24"/>
  <c r="P298" i="7"/>
  <c r="N320" i="33" s="1"/>
  <c r="P306" i="7"/>
  <c r="N327" i="33" s="1"/>
  <c r="P316" i="7"/>
  <c r="N337" i="33" s="1"/>
  <c r="P323" i="7"/>
  <c r="N344" i="33" s="1"/>
  <c r="P295" i="7"/>
  <c r="N318" i="33" s="1"/>
  <c r="P303" i="7"/>
  <c r="N325" i="33" s="1"/>
  <c r="P312" i="7"/>
  <c r="N333" i="33" s="1"/>
  <c r="P300" i="7"/>
  <c r="N322" i="33" s="1"/>
  <c r="P308" i="7"/>
  <c r="N329" i="33" s="1"/>
  <c r="P318" i="7"/>
  <c r="N339" i="33" s="1"/>
  <c r="P326" i="7"/>
  <c r="N347" i="33" s="1"/>
  <c r="P332" i="7"/>
  <c r="N354" i="33" s="1"/>
  <c r="P350" i="7"/>
  <c r="N378" i="33" s="1"/>
  <c r="P325" i="7"/>
  <c r="N346" i="33" s="1"/>
  <c r="P299" i="7"/>
  <c r="N321" i="33" s="1"/>
  <c r="P307" i="7"/>
  <c r="N328" i="33" s="1"/>
  <c r="P317" i="7"/>
  <c r="N338" i="33" s="1"/>
  <c r="P324" i="7"/>
  <c r="N345" i="33" s="1"/>
  <c r="P220" i="7"/>
  <c r="N231" i="33" s="1"/>
  <c r="P228" i="7"/>
  <c r="N240" i="33" s="1"/>
  <c r="P238" i="7"/>
  <c r="N250" i="33" s="1"/>
  <c r="P244" i="7"/>
  <c r="N257" i="33" s="1"/>
  <c r="P217" i="7"/>
  <c r="P225" i="7"/>
  <c r="N236" i="33" s="1"/>
  <c r="P234" i="7"/>
  <c r="N246" i="33" s="1"/>
  <c r="P242" i="7"/>
  <c r="N255" i="33" s="1"/>
  <c r="P248" i="7"/>
  <c r="N261" i="33" s="1"/>
  <c r="P256" i="7"/>
  <c r="N268" i="33" s="1"/>
  <c r="P330" i="7"/>
  <c r="N352" i="33" s="1"/>
  <c r="P251" i="7"/>
  <c r="N263" i="33" s="1"/>
  <c r="P214" i="7"/>
  <c r="N226" i="33" s="1"/>
  <c r="P353" i="7"/>
  <c r="N381" i="33" s="1"/>
  <c r="P221" i="7"/>
  <c r="N232" i="33" s="1"/>
  <c r="P229" i="7"/>
  <c r="N241" i="33" s="1"/>
  <c r="P239" i="7"/>
  <c r="N251" i="33" s="1"/>
  <c r="P245" i="7"/>
  <c r="N258" i="33" s="1"/>
  <c r="P252" i="7"/>
  <c r="N264" i="33" s="1"/>
  <c r="P259" i="7"/>
  <c r="N271" i="33" s="1"/>
  <c r="P222" i="7"/>
  <c r="N233" i="33" s="1"/>
  <c r="P230" i="7"/>
  <c r="N242" i="33" s="1"/>
  <c r="P240" i="7"/>
  <c r="N252" i="33" s="1"/>
  <c r="P246" i="7"/>
  <c r="N259" i="33" s="1"/>
  <c r="P253" i="7"/>
  <c r="N265" i="33" s="1"/>
  <c r="P354" i="7"/>
  <c r="N382" i="33" s="1"/>
  <c r="T7" i="24"/>
  <c r="T12" i="24" s="1"/>
  <c r="J1" i="24"/>
  <c r="J67" i="24"/>
  <c r="C26" i="23"/>
  <c r="F26" i="23"/>
  <c r="G1" i="10"/>
  <c r="P283" i="7" l="1"/>
  <c r="N306" i="33" s="1"/>
  <c r="P196" i="7"/>
  <c r="N209" i="33" s="1"/>
  <c r="T24" i="24"/>
  <c r="U12" i="24"/>
  <c r="U14" i="24" s="1"/>
  <c r="S60" i="1"/>
  <c r="T14" i="24"/>
  <c r="L65" i="24"/>
  <c r="V11" i="24" s="1"/>
  <c r="U233" i="1" s="1"/>
  <c r="I65" i="24"/>
  <c r="H65" i="24"/>
  <c r="S11" i="24" s="1"/>
  <c r="G65" i="24"/>
  <c r="R11" i="24" s="1"/>
  <c r="F65" i="24"/>
  <c r="Q11" i="24" s="1"/>
  <c r="E65" i="24"/>
  <c r="P11" i="24" s="1"/>
  <c r="D65" i="24"/>
  <c r="O11" i="24" s="1"/>
  <c r="C65" i="24"/>
  <c r="L60" i="24"/>
  <c r="V10" i="24" s="1"/>
  <c r="U217" i="1" s="1"/>
  <c r="I60" i="24"/>
  <c r="H53" i="24"/>
  <c r="H60" i="24" s="1"/>
  <c r="S10" i="24" s="1"/>
  <c r="S46" i="24"/>
  <c r="Q46" i="24"/>
  <c r="P46" i="24"/>
  <c r="V44" i="24"/>
  <c r="R44" i="24"/>
  <c r="C49" i="24"/>
  <c r="L43" i="24"/>
  <c r="V9" i="24" s="1"/>
  <c r="U158" i="1" s="1"/>
  <c r="G43" i="24"/>
  <c r="R9" i="24" s="1"/>
  <c r="E43" i="24"/>
  <c r="P9" i="24" s="1"/>
  <c r="D43" i="24"/>
  <c r="O9" i="24" s="1"/>
  <c r="C43" i="24"/>
  <c r="O32" i="24"/>
  <c r="I37" i="24"/>
  <c r="I43" i="24" s="1"/>
  <c r="H37" i="24"/>
  <c r="H43" i="24" s="1"/>
  <c r="O31" i="24"/>
  <c r="R29" i="24"/>
  <c r="F33" i="24"/>
  <c r="F43" i="24" s="1"/>
  <c r="Q9" i="24" s="1"/>
  <c r="Q23" i="24"/>
  <c r="P23" i="24"/>
  <c r="O23" i="24"/>
  <c r="S22" i="24"/>
  <c r="R22" i="24"/>
  <c r="S21" i="24"/>
  <c r="R21" i="24"/>
  <c r="L25" i="24"/>
  <c r="V8" i="24" s="1"/>
  <c r="U87" i="1" s="1"/>
  <c r="I25" i="24"/>
  <c r="H25" i="24"/>
  <c r="S8" i="24" s="1"/>
  <c r="G25" i="24"/>
  <c r="R8" i="24" s="1"/>
  <c r="F25" i="24"/>
  <c r="Q8" i="24" s="1"/>
  <c r="E25" i="24"/>
  <c r="P8" i="24" s="1"/>
  <c r="D25" i="24"/>
  <c r="O8" i="24" s="1"/>
  <c r="C25" i="24"/>
  <c r="S20" i="24"/>
  <c r="R20" i="24"/>
  <c r="S19" i="24"/>
  <c r="R19" i="24"/>
  <c r="S18" i="24"/>
  <c r="R18" i="24"/>
  <c r="S17" i="24"/>
  <c r="R17" i="24"/>
  <c r="L20" i="24"/>
  <c r="V6" i="24" s="1"/>
  <c r="I20" i="24"/>
  <c r="H20" i="24"/>
  <c r="S6" i="24" s="1"/>
  <c r="G20" i="24"/>
  <c r="R6" i="24" s="1"/>
  <c r="F20" i="24"/>
  <c r="Q6" i="24" s="1"/>
  <c r="E20" i="24"/>
  <c r="D20" i="24"/>
  <c r="O6" i="24" s="1"/>
  <c r="C20" i="24"/>
  <c r="L17" i="24"/>
  <c r="V7" i="24" s="1"/>
  <c r="I17" i="24"/>
  <c r="H17" i="24"/>
  <c r="S7" i="24" s="1"/>
  <c r="G17" i="24"/>
  <c r="R7" i="24" s="1"/>
  <c r="F17" i="24"/>
  <c r="Q7" i="24" s="1"/>
  <c r="E17" i="24"/>
  <c r="P7" i="24" s="1"/>
  <c r="D17" i="24"/>
  <c r="O7" i="24" s="1"/>
  <c r="C17" i="24"/>
  <c r="V4" i="24"/>
  <c r="S4" i="24"/>
  <c r="R4" i="24"/>
  <c r="Q4" i="24"/>
  <c r="P4" i="24"/>
  <c r="O4" i="24"/>
  <c r="C79" i="23"/>
  <c r="M77" i="23"/>
  <c r="N77" i="23" s="1"/>
  <c r="A74" i="23"/>
  <c r="M76" i="23"/>
  <c r="N76" i="23" s="1"/>
  <c r="A73" i="23"/>
  <c r="M75" i="23"/>
  <c r="N75" i="23" s="1"/>
  <c r="M74" i="23"/>
  <c r="F71" i="23"/>
  <c r="C63" i="23"/>
  <c r="F60" i="23"/>
  <c r="F59" i="23"/>
  <c r="M61" i="23"/>
  <c r="N61" i="23" s="1"/>
  <c r="A58" i="23"/>
  <c r="M60" i="23"/>
  <c r="N60" i="23" s="1"/>
  <c r="A57" i="23"/>
  <c r="M59" i="23"/>
  <c r="N59" i="23" s="1"/>
  <c r="M58" i="23"/>
  <c r="C47" i="23"/>
  <c r="F43" i="23"/>
  <c r="M45" i="23"/>
  <c r="N45" i="23" s="1"/>
  <c r="F42" i="23"/>
  <c r="A42" i="23"/>
  <c r="M44" i="23"/>
  <c r="N44" i="23" s="1"/>
  <c r="J41" i="23"/>
  <c r="M43" i="23"/>
  <c r="M42" i="23"/>
  <c r="N42" i="23" s="1"/>
  <c r="C31" i="23"/>
  <c r="B30" i="23"/>
  <c r="D30" i="23" s="1"/>
  <c r="B29" i="23"/>
  <c r="D29" i="23" s="1"/>
  <c r="B28" i="23"/>
  <c r="B27" i="23"/>
  <c r="D27" i="23" s="1"/>
  <c r="B25" i="23"/>
  <c r="B17" i="23"/>
  <c r="F17" i="23" s="1"/>
  <c r="B16" i="23"/>
  <c r="B15" i="23"/>
  <c r="B14" i="23"/>
  <c r="C14" i="23" s="1"/>
  <c r="B13" i="23"/>
  <c r="C7" i="23"/>
  <c r="C5" i="23"/>
  <c r="G1" i="11"/>
  <c r="V20" i="24" l="1"/>
  <c r="B19" i="23"/>
  <c r="H16" i="10" s="1"/>
  <c r="U15" i="1" s="1"/>
  <c r="C28" i="23"/>
  <c r="D28" i="23"/>
  <c r="D32" i="23" s="1"/>
  <c r="R28" i="23" s="1"/>
  <c r="S1" i="1"/>
  <c r="O112" i="7"/>
  <c r="M112" i="33" s="1"/>
  <c r="M1" i="33" s="1"/>
  <c r="U18" i="24"/>
  <c r="P355" i="7"/>
  <c r="N383" i="33" s="1"/>
  <c r="V22" i="24"/>
  <c r="P331" i="7"/>
  <c r="N353" i="33" s="1"/>
  <c r="V21" i="24"/>
  <c r="H60" i="10"/>
  <c r="U59" i="1"/>
  <c r="H61" i="10"/>
  <c r="U60" i="1"/>
  <c r="I1" i="24"/>
  <c r="O46" i="24"/>
  <c r="R46" i="24"/>
  <c r="P257" i="7"/>
  <c r="N269" i="33" s="1"/>
  <c r="E70" i="23" a="1"/>
  <c r="E28" i="23" a="1"/>
  <c r="E26" i="23" a="1"/>
  <c r="E29" i="23" a="1"/>
  <c r="E27" i="23" a="1"/>
  <c r="S23" i="24"/>
  <c r="C48" i="24"/>
  <c r="C60" i="24" s="1"/>
  <c r="C1" i="24" s="1"/>
  <c r="D49" i="24"/>
  <c r="D48" i="24" s="1"/>
  <c r="D60" i="24" s="1"/>
  <c r="V46" i="24"/>
  <c r="W44" i="24"/>
  <c r="W46" i="24" s="1"/>
  <c r="I67" i="24"/>
  <c r="L67" i="24"/>
  <c r="C29" i="23"/>
  <c r="F29" i="23"/>
  <c r="B32" i="23"/>
  <c r="C56" i="23"/>
  <c r="F56" i="23"/>
  <c r="C72" i="23"/>
  <c r="F72" i="23"/>
  <c r="N74" i="23"/>
  <c r="D70" i="23"/>
  <c r="D80" i="23" s="1"/>
  <c r="H139" i="11" s="1"/>
  <c r="U223" i="1" s="1"/>
  <c r="F70" i="23"/>
  <c r="F61" i="23"/>
  <c r="C61" i="23"/>
  <c r="C58" i="23"/>
  <c r="F58" i="23"/>
  <c r="N58" i="23"/>
  <c r="C55" i="23"/>
  <c r="F55" i="23"/>
  <c r="C54" i="23"/>
  <c r="F54" i="23"/>
  <c r="F45" i="23"/>
  <c r="C45" i="23"/>
  <c r="D44" i="23"/>
  <c r="C44" i="23"/>
  <c r="E41" i="23" a="1"/>
  <c r="A41" i="23"/>
  <c r="F39" i="23"/>
  <c r="C39" i="23"/>
  <c r="C38" i="23"/>
  <c r="F38" i="23"/>
  <c r="C30" i="23"/>
  <c r="F30" i="23"/>
  <c r="C27" i="23"/>
  <c r="F27" i="23"/>
  <c r="D16" i="23"/>
  <c r="F16" i="23"/>
  <c r="C16" i="23"/>
  <c r="D15" i="23"/>
  <c r="F15" i="23"/>
  <c r="D13" i="23"/>
  <c r="F13" i="23"/>
  <c r="C13" i="23"/>
  <c r="C12" i="23"/>
  <c r="D12" i="23"/>
  <c r="G59" i="23"/>
  <c r="G15" i="23"/>
  <c r="G16" i="23"/>
  <c r="G45" i="23"/>
  <c r="G38" i="23"/>
  <c r="R23" i="24"/>
  <c r="H67" i="24"/>
  <c r="V12" i="24"/>
  <c r="S9" i="24"/>
  <c r="S12" i="24" s="1"/>
  <c r="H1" i="24"/>
  <c r="L1" i="24"/>
  <c r="P6" i="24"/>
  <c r="E49" i="24"/>
  <c r="F14" i="23"/>
  <c r="C17" i="23"/>
  <c r="F25" i="23"/>
  <c r="F28" i="23"/>
  <c r="F40" i="23"/>
  <c r="D43" i="23"/>
  <c r="E44" i="23" a="1"/>
  <c r="G54" i="23"/>
  <c r="C57" i="23"/>
  <c r="C59" i="23"/>
  <c r="D60" i="23"/>
  <c r="G70" i="23"/>
  <c r="G80" i="23" s="1"/>
  <c r="H142" i="11" s="1"/>
  <c r="U226" i="1" s="1"/>
  <c r="E12" i="23" a="1"/>
  <c r="C25" i="23"/>
  <c r="C40" i="23"/>
  <c r="D59" i="23"/>
  <c r="E43" i="23" a="1"/>
  <c r="D57" i="23"/>
  <c r="C15" i="23"/>
  <c r="N43" i="23"/>
  <c r="C42" i="23"/>
  <c r="F44" i="23"/>
  <c r="E57" i="23" a="1"/>
  <c r="E59" i="23" a="1"/>
  <c r="C43" i="23"/>
  <c r="C60" i="23"/>
  <c r="F12" i="23"/>
  <c r="E60" i="23" a="1"/>
  <c r="E13" i="23" a="1"/>
  <c r="E16" i="23" a="1"/>
  <c r="E38" i="23" a="1"/>
  <c r="G41" i="23"/>
  <c r="G44" i="23"/>
  <c r="C70" i="23"/>
  <c r="C71" i="23"/>
  <c r="E15" i="23" a="1"/>
  <c r="G43" i="23"/>
  <c r="F57" i="23"/>
  <c r="G60" i="23"/>
  <c r="E54" i="23" a="1"/>
  <c r="G57" i="23"/>
  <c r="V17" i="24" l="1"/>
  <c r="V18" i="24"/>
  <c r="P345" i="7"/>
  <c r="P348" i="7"/>
  <c r="H74" i="10"/>
  <c r="U72" i="1" s="1"/>
  <c r="F80" i="23"/>
  <c r="H141" i="11" s="1"/>
  <c r="U225" i="1" s="1"/>
  <c r="C32" i="23"/>
  <c r="R26" i="23"/>
  <c r="H72" i="10"/>
  <c r="U70" i="1" s="1"/>
  <c r="P111" i="7"/>
  <c r="N111" i="33" s="1"/>
  <c r="P112" i="7"/>
  <c r="N112" i="33" s="1"/>
  <c r="C67" i="24"/>
  <c r="O10" i="24"/>
  <c r="O12" i="24" s="1"/>
  <c r="D67" i="24"/>
  <c r="D1" i="24"/>
  <c r="V14" i="24"/>
  <c r="D19" i="23"/>
  <c r="B78" i="23"/>
  <c r="B80" i="23" s="1"/>
  <c r="C41" i="23"/>
  <c r="D41" i="23"/>
  <c r="D48" i="23" s="1"/>
  <c r="F41" i="23"/>
  <c r="F48" i="23" s="1"/>
  <c r="G19" i="23"/>
  <c r="H22" i="10" s="1"/>
  <c r="U21" i="1" s="1"/>
  <c r="C19" i="23"/>
  <c r="G48" i="23"/>
  <c r="H29" i="11" s="1"/>
  <c r="U114" i="1" s="1"/>
  <c r="F19" i="23"/>
  <c r="F64" i="23"/>
  <c r="H92" i="11" s="1"/>
  <c r="U177" i="1" s="1"/>
  <c r="S14" i="24"/>
  <c r="S24" i="24"/>
  <c r="E48" i="24"/>
  <c r="E60" i="24" s="1"/>
  <c r="F49" i="24"/>
  <c r="D64" i="23"/>
  <c r="H90" i="11" s="1"/>
  <c r="U175" i="1" s="1"/>
  <c r="G64" i="23"/>
  <c r="H94" i="11" s="1"/>
  <c r="U179" i="1" s="1"/>
  <c r="F32" i="23"/>
  <c r="H76" i="10" s="1"/>
  <c r="U74" i="1" s="1"/>
  <c r="R9" i="23"/>
  <c r="G81" i="23" l="1"/>
  <c r="N376" i="33"/>
  <c r="D81" i="23"/>
  <c r="N372" i="33"/>
  <c r="P347" i="7"/>
  <c r="P215" i="7"/>
  <c r="P292" i="7"/>
  <c r="P290" i="7"/>
  <c r="P294" i="7"/>
  <c r="P137" i="7"/>
  <c r="P68" i="7"/>
  <c r="N68" i="33" s="1"/>
  <c r="P139" i="7"/>
  <c r="R44" i="23"/>
  <c r="R41" i="23"/>
  <c r="H25" i="11"/>
  <c r="U110" i="1" s="1"/>
  <c r="R43" i="23"/>
  <c r="H27" i="11"/>
  <c r="U112" i="1" s="1"/>
  <c r="H73" i="10"/>
  <c r="U71" i="1" s="1"/>
  <c r="R27" i="23"/>
  <c r="R11" i="23"/>
  <c r="H18" i="10"/>
  <c r="U17" i="1" s="1"/>
  <c r="R10" i="23"/>
  <c r="H17" i="10"/>
  <c r="U16" i="1" s="1"/>
  <c r="R13" i="23"/>
  <c r="H20" i="10"/>
  <c r="U19" i="1" s="1"/>
  <c r="O14" i="24"/>
  <c r="C78" i="23"/>
  <c r="C80" i="23" s="1"/>
  <c r="H138" i="11" s="1"/>
  <c r="U222" i="1" s="1"/>
  <c r="H137" i="11"/>
  <c r="U221" i="1" s="1"/>
  <c r="R75" i="23"/>
  <c r="R59" i="23"/>
  <c r="R14" i="23"/>
  <c r="R15" i="23"/>
  <c r="F48" i="24"/>
  <c r="F60" i="24" s="1"/>
  <c r="G49" i="24"/>
  <c r="G48" i="24" s="1"/>
  <c r="G60" i="24" s="1"/>
  <c r="P10" i="24"/>
  <c r="P12" i="24" s="1"/>
  <c r="E67" i="24"/>
  <c r="E1" i="24"/>
  <c r="C62" i="23"/>
  <c r="C64" i="23" s="1"/>
  <c r="H89" i="11" s="1"/>
  <c r="U174" i="1" s="1"/>
  <c r="B64" i="23"/>
  <c r="H88" i="11" s="1"/>
  <c r="U173" i="1" s="1"/>
  <c r="R30" i="23"/>
  <c r="C46" i="23"/>
  <c r="C48" i="23" s="1"/>
  <c r="H24" i="11" s="1"/>
  <c r="U109" i="1" s="1"/>
  <c r="B48" i="23"/>
  <c r="H23" i="11" s="1"/>
  <c r="R76" i="23"/>
  <c r="R60" i="23"/>
  <c r="R57" i="23"/>
  <c r="R73" i="23"/>
  <c r="F81" i="23" l="1"/>
  <c r="N374" i="33"/>
  <c r="G65" i="23"/>
  <c r="N317" i="33"/>
  <c r="D65" i="23"/>
  <c r="N313" i="33"/>
  <c r="F65" i="23"/>
  <c r="N315" i="33"/>
  <c r="F33" i="23"/>
  <c r="N147" i="33"/>
  <c r="D33" i="23"/>
  <c r="N145" i="33"/>
  <c r="G49" i="23"/>
  <c r="N227" i="33"/>
  <c r="P211" i="7"/>
  <c r="P213" i="7"/>
  <c r="P344" i="7"/>
  <c r="P343" i="7"/>
  <c r="P289" i="7"/>
  <c r="P288" i="7"/>
  <c r="P210" i="7"/>
  <c r="P136" i="7"/>
  <c r="P64" i="7"/>
  <c r="P66" i="7"/>
  <c r="P63" i="7"/>
  <c r="U108" i="1"/>
  <c r="P14" i="24"/>
  <c r="G1" i="24"/>
  <c r="R10" i="24"/>
  <c r="R12" i="24" s="1"/>
  <c r="G67" i="24"/>
  <c r="Q10" i="24"/>
  <c r="Q12" i="24" s="1"/>
  <c r="F1" i="24"/>
  <c r="F67" i="24"/>
  <c r="R39" i="23"/>
  <c r="R40" i="23"/>
  <c r="R71" i="23"/>
  <c r="R55" i="23"/>
  <c r="R56" i="23"/>
  <c r="R72" i="23"/>
  <c r="B81" i="23" l="1"/>
  <c r="N370" i="33"/>
  <c r="C81" i="23"/>
  <c r="N371" i="33"/>
  <c r="C65" i="23"/>
  <c r="N312" i="33"/>
  <c r="F49" i="23"/>
  <c r="N225" i="33"/>
  <c r="C20" i="23"/>
  <c r="N63" i="33"/>
  <c r="F20" i="23"/>
  <c r="N66" i="33"/>
  <c r="D20" i="23"/>
  <c r="N64" i="33"/>
  <c r="C33" i="23"/>
  <c r="N144" i="33"/>
  <c r="B65" i="23"/>
  <c r="N311" i="33"/>
  <c r="D49" i="23"/>
  <c r="N223" i="33"/>
  <c r="C49" i="23"/>
  <c r="N222" i="33"/>
  <c r="P209" i="7"/>
  <c r="R14" i="24"/>
  <c r="R24" i="24"/>
  <c r="Q14" i="24"/>
  <c r="B49" i="23" l="1"/>
  <c r="N221" i="33"/>
  <c r="Q23" i="1"/>
  <c r="P1" i="1"/>
  <c r="B22" i="21" l="1"/>
  <c r="Q9" i="21" s="1"/>
  <c r="B16" i="21"/>
  <c r="B15" i="21"/>
  <c r="B18" i="21"/>
  <c r="B13" i="21"/>
  <c r="I55" i="20"/>
  <c r="F132" i="11"/>
  <c r="J21" i="20"/>
  <c r="I38" i="20"/>
  <c r="J49" i="21"/>
  <c r="J48" i="21"/>
  <c r="B48" i="21" s="1"/>
  <c r="B40" i="21"/>
  <c r="L57" i="21"/>
  <c r="I43" i="21"/>
  <c r="L41" i="21"/>
  <c r="B41" i="21"/>
  <c r="B64" i="21"/>
  <c r="B12" i="21"/>
  <c r="B44" i="21"/>
  <c r="B43" i="21"/>
  <c r="B60" i="21"/>
  <c r="B59" i="21"/>
  <c r="F38" i="20"/>
  <c r="J38" i="20"/>
  <c r="C38" i="20"/>
  <c r="D38" i="20"/>
  <c r="E38" i="20"/>
  <c r="G38" i="20"/>
  <c r="H38" i="20"/>
  <c r="K348" i="7"/>
  <c r="K347" i="7"/>
  <c r="K346" i="7"/>
  <c r="K345" i="7"/>
  <c r="K344" i="7"/>
  <c r="K343" i="7"/>
  <c r="K143" i="7"/>
  <c r="E35" i="21"/>
  <c r="C360" i="7" l="1"/>
  <c r="C359" i="7"/>
  <c r="C358" i="7"/>
  <c r="C357" i="7"/>
  <c r="C356" i="7"/>
  <c r="C355" i="7"/>
  <c r="C354" i="7"/>
  <c r="C353" i="7"/>
  <c r="C352" i="7"/>
  <c r="C351" i="7"/>
  <c r="C350" i="7"/>
  <c r="C349" i="7"/>
  <c r="C348" i="7"/>
  <c r="C347" i="7"/>
  <c r="C346" i="7"/>
  <c r="C345" i="7"/>
  <c r="C344" i="7"/>
  <c r="C343" i="7"/>
  <c r="C342" i="7"/>
  <c r="C341" i="7"/>
  <c r="C340" i="7"/>
  <c r="C339" i="7"/>
  <c r="C338" i="7"/>
  <c r="C337" i="7"/>
  <c r="C336" i="7"/>
  <c r="C335" i="7"/>
  <c r="C334" i="7"/>
  <c r="C333" i="7"/>
  <c r="C332" i="7"/>
  <c r="C331" i="7"/>
  <c r="C330" i="7"/>
  <c r="C329" i="7"/>
  <c r="C328" i="7"/>
  <c r="C327" i="7"/>
  <c r="C326" i="7"/>
  <c r="C325" i="7"/>
  <c r="C324" i="7"/>
  <c r="C323" i="7"/>
  <c r="C322" i="7"/>
  <c r="C321" i="7"/>
  <c r="C320" i="7"/>
  <c r="C319" i="7"/>
  <c r="C318" i="7"/>
  <c r="C317" i="7"/>
  <c r="C316" i="7"/>
  <c r="C315" i="7"/>
  <c r="C314" i="7"/>
  <c r="C313" i="7"/>
  <c r="C312" i="7"/>
  <c r="C311" i="7"/>
  <c r="C310" i="7"/>
  <c r="C309" i="7"/>
  <c r="C308" i="7"/>
  <c r="C307" i="7"/>
  <c r="C306" i="7"/>
  <c r="C305" i="7"/>
  <c r="C304" i="7"/>
  <c r="C303" i="7"/>
  <c r="C302" i="7"/>
  <c r="C301" i="7"/>
  <c r="C300" i="7"/>
  <c r="C299" i="7"/>
  <c r="C298" i="7"/>
  <c r="C297" i="7"/>
  <c r="C296" i="7"/>
  <c r="C295" i="7"/>
  <c r="C294" i="7"/>
  <c r="C293" i="7"/>
  <c r="C292" i="7"/>
  <c r="C291" i="7"/>
  <c r="C290" i="7"/>
  <c r="C289" i="7"/>
  <c r="C288" i="7"/>
  <c r="C287" i="7"/>
  <c r="C286" i="7"/>
  <c r="C285" i="7"/>
  <c r="C284" i="7"/>
  <c r="C283" i="7"/>
  <c r="C282" i="7"/>
  <c r="C281" i="7"/>
  <c r="C280" i="7"/>
  <c r="C279" i="7"/>
  <c r="C278" i="7"/>
  <c r="C277" i="7"/>
  <c r="C276" i="7"/>
  <c r="C275" i="7"/>
  <c r="C274" i="7"/>
  <c r="C273" i="7"/>
  <c r="C272" i="7"/>
  <c r="C271" i="7"/>
  <c r="C270" i="7"/>
  <c r="C269" i="7"/>
  <c r="C268" i="7"/>
  <c r="C267" i="7"/>
  <c r="C266" i="7"/>
  <c r="C265" i="7"/>
  <c r="C264" i="7"/>
  <c r="C263" i="7"/>
  <c r="C262" i="7"/>
  <c r="C261" i="7"/>
  <c r="C260" i="7"/>
  <c r="C259" i="7"/>
  <c r="C258" i="7"/>
  <c r="C257" i="7"/>
  <c r="C256" i="7"/>
  <c r="C255" i="7"/>
  <c r="C254" i="7"/>
  <c r="C253" i="7"/>
  <c r="C252" i="7"/>
  <c r="C251" i="7"/>
  <c r="C250" i="7"/>
  <c r="C249" i="7"/>
  <c r="C248" i="7"/>
  <c r="C247" i="7"/>
  <c r="C246" i="7"/>
  <c r="C245" i="7"/>
  <c r="C244" i="7"/>
  <c r="C243" i="7"/>
  <c r="C242" i="7"/>
  <c r="C241" i="7"/>
  <c r="C240" i="7"/>
  <c r="C239" i="7"/>
  <c r="C238" i="7"/>
  <c r="C237" i="7"/>
  <c r="C236" i="7"/>
  <c r="C235" i="7"/>
  <c r="C234" i="7"/>
  <c r="C233" i="7"/>
  <c r="C232" i="7"/>
  <c r="C231" i="7"/>
  <c r="C230" i="7"/>
  <c r="C229" i="7"/>
  <c r="C228" i="7"/>
  <c r="C227" i="7"/>
  <c r="C226" i="7"/>
  <c r="C225" i="7"/>
  <c r="C224" i="7"/>
  <c r="C223" i="7"/>
  <c r="C222" i="7"/>
  <c r="C221" i="7"/>
  <c r="C220" i="7"/>
  <c r="C219" i="7"/>
  <c r="C218" i="7"/>
  <c r="C217" i="7"/>
  <c r="C216" i="7"/>
  <c r="C215" i="7"/>
  <c r="C214" i="7"/>
  <c r="C213" i="7"/>
  <c r="C212" i="7"/>
  <c r="C211" i="7"/>
  <c r="C210" i="7"/>
  <c r="C209" i="7"/>
  <c r="C208" i="7"/>
  <c r="C207" i="7"/>
  <c r="C206" i="7"/>
  <c r="C205" i="7"/>
  <c r="C204" i="7"/>
  <c r="C203" i="7"/>
  <c r="C202" i="7"/>
  <c r="C201" i="7"/>
  <c r="C200" i="7"/>
  <c r="C199" i="7"/>
  <c r="C198" i="7"/>
  <c r="C197" i="7"/>
  <c r="C196" i="7"/>
  <c r="C195" i="7"/>
  <c r="C194" i="7"/>
  <c r="C193" i="7"/>
  <c r="C192" i="7"/>
  <c r="C191" i="7"/>
  <c r="C190" i="7"/>
  <c r="C189" i="7"/>
  <c r="C188" i="7"/>
  <c r="C187" i="7"/>
  <c r="C186" i="7"/>
  <c r="C185" i="7"/>
  <c r="C184" i="7"/>
  <c r="C183" i="7"/>
  <c r="C182" i="7"/>
  <c r="C181" i="7"/>
  <c r="C180" i="7"/>
  <c r="C179" i="7"/>
  <c r="C178" i="7"/>
  <c r="C177" i="7"/>
  <c r="C176" i="7"/>
  <c r="C175" i="7"/>
  <c r="C174" i="7"/>
  <c r="C173" i="7"/>
  <c r="C172" i="7"/>
  <c r="C171" i="7"/>
  <c r="C170" i="7"/>
  <c r="C169" i="7"/>
  <c r="C168" i="7"/>
  <c r="C167" i="7"/>
  <c r="C166" i="7"/>
  <c r="C165" i="7"/>
  <c r="C164" i="7"/>
  <c r="C163" i="7"/>
  <c r="C162" i="7"/>
  <c r="C161" i="7"/>
  <c r="C160" i="7"/>
  <c r="C159" i="7"/>
  <c r="C158" i="7"/>
  <c r="C157" i="7"/>
  <c r="C156" i="7"/>
  <c r="C155" i="7"/>
  <c r="C154" i="7"/>
  <c r="C153" i="7"/>
  <c r="C152" i="7"/>
  <c r="C151" i="7"/>
  <c r="C150" i="7"/>
  <c r="C149" i="7"/>
  <c r="C148" i="7"/>
  <c r="C147" i="7"/>
  <c r="C146" i="7"/>
  <c r="C145" i="7"/>
  <c r="C144" i="7"/>
  <c r="C143" i="7"/>
  <c r="C142" i="7"/>
  <c r="C139" i="7"/>
  <c r="C137" i="7"/>
  <c r="C136" i="7"/>
  <c r="C135" i="7"/>
  <c r="C134" i="7"/>
  <c r="C133" i="7"/>
  <c r="C132" i="7"/>
  <c r="C131" i="7"/>
  <c r="C130" i="7"/>
  <c r="C129" i="7"/>
  <c r="C128" i="7"/>
  <c r="C127" i="7"/>
  <c r="C126" i="7"/>
  <c r="C125" i="7"/>
  <c r="C124" i="7"/>
  <c r="C123" i="7"/>
  <c r="C122" i="7"/>
  <c r="C121" i="7"/>
  <c r="C120" i="7"/>
  <c r="C119" i="7"/>
  <c r="C118" i="7"/>
  <c r="C117" i="7"/>
  <c r="C116" i="7"/>
  <c r="C115" i="7"/>
  <c r="C114" i="7"/>
  <c r="C113" i="7"/>
  <c r="C112" i="7"/>
  <c r="C111" i="7"/>
  <c r="C110" i="7"/>
  <c r="C109" i="7"/>
  <c r="C108" i="7"/>
  <c r="C107" i="7"/>
  <c r="C106" i="7"/>
  <c r="C105" i="7"/>
  <c r="C104" i="7"/>
  <c r="C103" i="7"/>
  <c r="C102" i="7"/>
  <c r="C101" i="7"/>
  <c r="C100" i="7"/>
  <c r="C99" i="7"/>
  <c r="C98" i="7"/>
  <c r="C97" i="7"/>
  <c r="C96" i="7"/>
  <c r="C95" i="7"/>
  <c r="C94" i="7"/>
  <c r="C93" i="7"/>
  <c r="C92" i="7"/>
  <c r="C91" i="7"/>
  <c r="C90" i="7"/>
  <c r="C89" i="7"/>
  <c r="C88" i="7"/>
  <c r="C87" i="7"/>
  <c r="C86" i="7"/>
  <c r="C85" i="7"/>
  <c r="C84" i="7"/>
  <c r="C83" i="7"/>
  <c r="C82" i="7"/>
  <c r="C81" i="7"/>
  <c r="C80" i="7"/>
  <c r="C79" i="7"/>
  <c r="C78" i="7"/>
  <c r="C77" i="7"/>
  <c r="C76" i="7"/>
  <c r="C75" i="7"/>
  <c r="C74" i="7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F348" i="7"/>
  <c r="F347" i="7"/>
  <c r="F346" i="7"/>
  <c r="F345" i="7"/>
  <c r="F344" i="7"/>
  <c r="F343" i="7"/>
  <c r="M348" i="7"/>
  <c r="M347" i="7"/>
  <c r="M346" i="7"/>
  <c r="M345" i="7"/>
  <c r="M344" i="7"/>
  <c r="M343" i="7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2" i="1"/>
  <c r="X211" i="1"/>
  <c r="X210" i="1"/>
  <c r="X209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4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Q360" i="7"/>
  <c r="Q359" i="7"/>
  <c r="Q358" i="7"/>
  <c r="Q357" i="7"/>
  <c r="Q356" i="7"/>
  <c r="Q355" i="7"/>
  <c r="Q354" i="7"/>
  <c r="Q353" i="7"/>
  <c r="Q352" i="7"/>
  <c r="Q351" i="7"/>
  <c r="Q350" i="7"/>
  <c r="Q349" i="7"/>
  <c r="Q342" i="7"/>
  <c r="Q341" i="7"/>
  <c r="Q340" i="7"/>
  <c r="Q339" i="7"/>
  <c r="Q338" i="7"/>
  <c r="Q337" i="7"/>
  <c r="Q336" i="7"/>
  <c r="Q335" i="7"/>
  <c r="Q334" i="7"/>
  <c r="Q333" i="7"/>
  <c r="Q332" i="7"/>
  <c r="Q331" i="7"/>
  <c r="Q330" i="7"/>
  <c r="Q329" i="7"/>
  <c r="Q328" i="7"/>
  <c r="Q327" i="7"/>
  <c r="Q326" i="7"/>
  <c r="Q325" i="7"/>
  <c r="Q324" i="7"/>
  <c r="Q323" i="7"/>
  <c r="Q322" i="7"/>
  <c r="Q321" i="7"/>
  <c r="Q320" i="7"/>
  <c r="Q319" i="7"/>
  <c r="Q318" i="7"/>
  <c r="Q317" i="7"/>
  <c r="Q316" i="7"/>
  <c r="Q315" i="7"/>
  <c r="Q314" i="7"/>
  <c r="Q313" i="7"/>
  <c r="Q312" i="7"/>
  <c r="Q311" i="7"/>
  <c r="Q310" i="7"/>
  <c r="Q309" i="7"/>
  <c r="Q308" i="7"/>
  <c r="Q307" i="7"/>
  <c r="Q306" i="7"/>
  <c r="Q305" i="7"/>
  <c r="Q304" i="7"/>
  <c r="Q303" i="7"/>
  <c r="Q302" i="7"/>
  <c r="Q301" i="7"/>
  <c r="Q300" i="7"/>
  <c r="Q299" i="7"/>
  <c r="Q298" i="7"/>
  <c r="Q297" i="7"/>
  <c r="Q296" i="7"/>
  <c r="Q295" i="7"/>
  <c r="Q294" i="7"/>
  <c r="Q293" i="7"/>
  <c r="Q292" i="7"/>
  <c r="Q291" i="7"/>
  <c r="Q290" i="7"/>
  <c r="Q289" i="7"/>
  <c r="Q288" i="7"/>
  <c r="Q287" i="7"/>
  <c r="Q286" i="7"/>
  <c r="Q285" i="7"/>
  <c r="Q284" i="7"/>
  <c r="Q283" i="7"/>
  <c r="Q282" i="7"/>
  <c r="Q281" i="7"/>
  <c r="Q280" i="7"/>
  <c r="Q279" i="7"/>
  <c r="Q278" i="7"/>
  <c r="Q277" i="7"/>
  <c r="Q276" i="7"/>
  <c r="Q275" i="7"/>
  <c r="Q274" i="7"/>
  <c r="Q273" i="7"/>
  <c r="Q272" i="7"/>
  <c r="Q271" i="7"/>
  <c r="Q270" i="7"/>
  <c r="Q269" i="7"/>
  <c r="Q268" i="7"/>
  <c r="Q267" i="7"/>
  <c r="Q266" i="7"/>
  <c r="Q265" i="7"/>
  <c r="Q264" i="7"/>
  <c r="Q263" i="7"/>
  <c r="Q262" i="7"/>
  <c r="Q261" i="7"/>
  <c r="Q260" i="7"/>
  <c r="Q259" i="7"/>
  <c r="Q258" i="7"/>
  <c r="Q257" i="7"/>
  <c r="Q256" i="7"/>
  <c r="Q255" i="7"/>
  <c r="Q254" i="7"/>
  <c r="Q253" i="7"/>
  <c r="Q252" i="7"/>
  <c r="Q251" i="7"/>
  <c r="Q250" i="7"/>
  <c r="Q249" i="7"/>
  <c r="Q248" i="7"/>
  <c r="Q247" i="7"/>
  <c r="Q246" i="7"/>
  <c r="Q245" i="7"/>
  <c r="Q244" i="7"/>
  <c r="Q243" i="7"/>
  <c r="Q242" i="7"/>
  <c r="Q241" i="7"/>
  <c r="Q240" i="7"/>
  <c r="Q239" i="7"/>
  <c r="Q238" i="7"/>
  <c r="Q237" i="7"/>
  <c r="Q236" i="7"/>
  <c r="Q235" i="7"/>
  <c r="Q234" i="7"/>
  <c r="Q233" i="7"/>
  <c r="Q232" i="7"/>
  <c r="Q231" i="7"/>
  <c r="Q230" i="7"/>
  <c r="Q229" i="7"/>
  <c r="Q228" i="7"/>
  <c r="Q227" i="7"/>
  <c r="Q226" i="7"/>
  <c r="Q225" i="7"/>
  <c r="Q224" i="7"/>
  <c r="Q223" i="7"/>
  <c r="Q222" i="7"/>
  <c r="Q221" i="7"/>
  <c r="Q220" i="7"/>
  <c r="Q219" i="7"/>
  <c r="Q218" i="7"/>
  <c r="Q217" i="7"/>
  <c r="Q216" i="7"/>
  <c r="Q215" i="7"/>
  <c r="Q214" i="7"/>
  <c r="Q213" i="7"/>
  <c r="Q212" i="7"/>
  <c r="Q211" i="7"/>
  <c r="Q210" i="7"/>
  <c r="Q209" i="7"/>
  <c r="Q208" i="7"/>
  <c r="Q207" i="7"/>
  <c r="Q206" i="7"/>
  <c r="Q205" i="7"/>
  <c r="Q204" i="7"/>
  <c r="Q203" i="7"/>
  <c r="Q202" i="7"/>
  <c r="Q201" i="7"/>
  <c r="Q200" i="7"/>
  <c r="Q199" i="7"/>
  <c r="Q198" i="7"/>
  <c r="Q197" i="7"/>
  <c r="Q196" i="7"/>
  <c r="Q195" i="7"/>
  <c r="Q194" i="7"/>
  <c r="Q193" i="7"/>
  <c r="Q192" i="7"/>
  <c r="Q191" i="7"/>
  <c r="Q190" i="7"/>
  <c r="Q189" i="7"/>
  <c r="Q188" i="7"/>
  <c r="Q187" i="7"/>
  <c r="Q186" i="7"/>
  <c r="Q185" i="7"/>
  <c r="Q184" i="7"/>
  <c r="Q183" i="7"/>
  <c r="Q182" i="7"/>
  <c r="Q181" i="7"/>
  <c r="Q180" i="7"/>
  <c r="Q179" i="7"/>
  <c r="Q178" i="7"/>
  <c r="Q177" i="7"/>
  <c r="Q176" i="7"/>
  <c r="Q175" i="7"/>
  <c r="Q174" i="7"/>
  <c r="Q173" i="7"/>
  <c r="Q172" i="7"/>
  <c r="Q171" i="7"/>
  <c r="Q170" i="7"/>
  <c r="Q169" i="7"/>
  <c r="Q168" i="7"/>
  <c r="Q167" i="7"/>
  <c r="Q166" i="7"/>
  <c r="Q165" i="7"/>
  <c r="Q164" i="7"/>
  <c r="Q163" i="7"/>
  <c r="Q162" i="7"/>
  <c r="Q161" i="7"/>
  <c r="Q160" i="7"/>
  <c r="Q159" i="7"/>
  <c r="Q158" i="7"/>
  <c r="Q157" i="7"/>
  <c r="Q156" i="7"/>
  <c r="Q155" i="7"/>
  <c r="Q154" i="7"/>
  <c r="Q153" i="7"/>
  <c r="Q152" i="7"/>
  <c r="Q151" i="7"/>
  <c r="Q150" i="7"/>
  <c r="Q149" i="7"/>
  <c r="Q148" i="7"/>
  <c r="Q147" i="7"/>
  <c r="Q146" i="7"/>
  <c r="Q145" i="7"/>
  <c r="Q144" i="7"/>
  <c r="Q143" i="7"/>
  <c r="Q142" i="7"/>
  <c r="Q139" i="7"/>
  <c r="Q137" i="7"/>
  <c r="Q136" i="7"/>
  <c r="Q135" i="7"/>
  <c r="Q134" i="7"/>
  <c r="Q133" i="7"/>
  <c r="Q132" i="7"/>
  <c r="Q131" i="7"/>
  <c r="Q130" i="7"/>
  <c r="Q129" i="7"/>
  <c r="Q128" i="7"/>
  <c r="Q127" i="7"/>
  <c r="Q126" i="7"/>
  <c r="Q125" i="7"/>
  <c r="Q124" i="7"/>
  <c r="Q123" i="7"/>
  <c r="Q122" i="7"/>
  <c r="Q121" i="7"/>
  <c r="Q120" i="7"/>
  <c r="Q119" i="7"/>
  <c r="Q118" i="7"/>
  <c r="Q117" i="7"/>
  <c r="Q116" i="7"/>
  <c r="Q115" i="7"/>
  <c r="Q114" i="7"/>
  <c r="Q113" i="7"/>
  <c r="Q112" i="7"/>
  <c r="Q111" i="7"/>
  <c r="Q110" i="7"/>
  <c r="Q109" i="7"/>
  <c r="Q108" i="7"/>
  <c r="Q107" i="7"/>
  <c r="Q106" i="7"/>
  <c r="Q105" i="7"/>
  <c r="Q104" i="7"/>
  <c r="Q103" i="7"/>
  <c r="Q102" i="7"/>
  <c r="Q101" i="7"/>
  <c r="Q100" i="7"/>
  <c r="Q99" i="7"/>
  <c r="Q98" i="7"/>
  <c r="Q97" i="7"/>
  <c r="Q96" i="7"/>
  <c r="Q95" i="7"/>
  <c r="Q94" i="7"/>
  <c r="Q93" i="7"/>
  <c r="Q92" i="7"/>
  <c r="Q91" i="7"/>
  <c r="Q90" i="7"/>
  <c r="Q89" i="7"/>
  <c r="Q88" i="7"/>
  <c r="Q87" i="7"/>
  <c r="Q86" i="7"/>
  <c r="Q85" i="7"/>
  <c r="Q84" i="7"/>
  <c r="Q83" i="7"/>
  <c r="Q82" i="7"/>
  <c r="Q81" i="7"/>
  <c r="Q80" i="7"/>
  <c r="Q79" i="7"/>
  <c r="Q78" i="7"/>
  <c r="Q77" i="7"/>
  <c r="Q76" i="7"/>
  <c r="Q75" i="7"/>
  <c r="Q74" i="7"/>
  <c r="Q73" i="7"/>
  <c r="Q72" i="7"/>
  <c r="Q71" i="7"/>
  <c r="Q70" i="7"/>
  <c r="Q69" i="7"/>
  <c r="Q68" i="7"/>
  <c r="Q67" i="7"/>
  <c r="Q66" i="7"/>
  <c r="Q65" i="7"/>
  <c r="Q64" i="7"/>
  <c r="Q63" i="7"/>
  <c r="Q62" i="7"/>
  <c r="Q61" i="7"/>
  <c r="Q60" i="7"/>
  <c r="Q59" i="7"/>
  <c r="Q58" i="7"/>
  <c r="Q57" i="7"/>
  <c r="Q56" i="7"/>
  <c r="Q55" i="7"/>
  <c r="Q54" i="7"/>
  <c r="Q53" i="7"/>
  <c r="Q52" i="7"/>
  <c r="Q51" i="7"/>
  <c r="Q50" i="7"/>
  <c r="Q49" i="7"/>
  <c r="Q48" i="7"/>
  <c r="Q47" i="7"/>
  <c r="Q46" i="7"/>
  <c r="Q45" i="7"/>
  <c r="Q44" i="7"/>
  <c r="Q43" i="7"/>
  <c r="Q42" i="7"/>
  <c r="Q41" i="7"/>
  <c r="Q40" i="7"/>
  <c r="Q39" i="7"/>
  <c r="Q38" i="7"/>
  <c r="Q37" i="7"/>
  <c r="Q36" i="7"/>
  <c r="Q35" i="7"/>
  <c r="Q34" i="7"/>
  <c r="Q33" i="7"/>
  <c r="Q32" i="7"/>
  <c r="Q31" i="7"/>
  <c r="Q30" i="7"/>
  <c r="Q29" i="7"/>
  <c r="Q28" i="7"/>
  <c r="Q27" i="7"/>
  <c r="Q26" i="7"/>
  <c r="Q25" i="7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Q6" i="7"/>
  <c r="Q5" i="7"/>
  <c r="Q4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N7" i="7"/>
  <c r="N6" i="7"/>
  <c r="N5" i="7"/>
  <c r="M360" i="7"/>
  <c r="M359" i="7"/>
  <c r="M358" i="7"/>
  <c r="M357" i="7"/>
  <c r="M356" i="7"/>
  <c r="M340" i="7"/>
  <c r="M339" i="7"/>
  <c r="M338" i="7"/>
  <c r="M337" i="7"/>
  <c r="M336" i="7"/>
  <c r="M335" i="7"/>
  <c r="M334" i="7"/>
  <c r="M333" i="7"/>
  <c r="M315" i="7"/>
  <c r="M310" i="7"/>
  <c r="M282" i="7"/>
  <c r="M281" i="7"/>
  <c r="M280" i="7"/>
  <c r="M279" i="7"/>
  <c r="M278" i="7"/>
  <c r="M277" i="7"/>
  <c r="M276" i="7"/>
  <c r="M275" i="7"/>
  <c r="M274" i="7"/>
  <c r="M273" i="7"/>
  <c r="M272" i="7"/>
  <c r="M271" i="7"/>
  <c r="M270" i="7"/>
  <c r="M269" i="7"/>
  <c r="M268" i="7"/>
  <c r="M267" i="7"/>
  <c r="M266" i="7"/>
  <c r="M265" i="7"/>
  <c r="M264" i="7"/>
  <c r="M263" i="7"/>
  <c r="M262" i="7"/>
  <c r="M261" i="7"/>
  <c r="M260" i="7"/>
  <c r="M236" i="7"/>
  <c r="M231" i="7"/>
  <c r="M207" i="7"/>
  <c r="M194" i="7"/>
  <c r="M193" i="7"/>
  <c r="M192" i="7"/>
  <c r="M191" i="7"/>
  <c r="M190" i="7"/>
  <c r="M189" i="7"/>
  <c r="M188" i="7"/>
  <c r="M187" i="7"/>
  <c r="M186" i="7"/>
  <c r="M185" i="7"/>
  <c r="M184" i="7"/>
  <c r="M183" i="7"/>
  <c r="M182" i="7"/>
  <c r="M181" i="7"/>
  <c r="M180" i="7"/>
  <c r="M179" i="7"/>
  <c r="M178" i="7"/>
  <c r="M177" i="7"/>
  <c r="M176" i="7"/>
  <c r="M175" i="7"/>
  <c r="M174" i="7"/>
  <c r="M173" i="7"/>
  <c r="M172" i="7"/>
  <c r="M171" i="7"/>
  <c r="M170" i="7"/>
  <c r="M169" i="7"/>
  <c r="M168" i="7"/>
  <c r="M167" i="7"/>
  <c r="M166" i="7"/>
  <c r="M165" i="7"/>
  <c r="M164" i="7"/>
  <c r="M163" i="7"/>
  <c r="M162" i="7"/>
  <c r="M161" i="7"/>
  <c r="M160" i="7"/>
  <c r="M159" i="7"/>
  <c r="M158" i="7"/>
  <c r="M157" i="7"/>
  <c r="M156" i="7"/>
  <c r="M155" i="7"/>
  <c r="M134" i="7"/>
  <c r="M128" i="7"/>
  <c r="M127" i="7"/>
  <c r="M126" i="7"/>
  <c r="M125" i="7"/>
  <c r="M124" i="7"/>
  <c r="M123" i="7"/>
  <c r="M122" i="7"/>
  <c r="M121" i="7"/>
  <c r="M120" i="7"/>
  <c r="M119" i="7"/>
  <c r="M118" i="7"/>
  <c r="M117" i="7"/>
  <c r="M114" i="7"/>
  <c r="M104" i="7"/>
  <c r="M103" i="7"/>
  <c r="M93" i="7"/>
  <c r="M89" i="7"/>
  <c r="M74" i="7"/>
  <c r="M61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7" i="7"/>
  <c r="M6" i="7"/>
  <c r="M5" i="7"/>
  <c r="E73" i="10"/>
  <c r="Q234" i="1" l="1"/>
  <c r="M355" i="7"/>
  <c r="Q233" i="1"/>
  <c r="M354" i="7"/>
  <c r="Q232" i="1"/>
  <c r="M353" i="7"/>
  <c r="Q231" i="1"/>
  <c r="M352" i="7"/>
  <c r="Q230" i="1"/>
  <c r="Q229" i="1"/>
  <c r="M350" i="7"/>
  <c r="Q228" i="1"/>
  <c r="M349" i="7"/>
  <c r="Q227" i="1"/>
  <c r="M342" i="7"/>
  <c r="Q220" i="1"/>
  <c r="M341" i="7"/>
  <c r="Q219" i="1"/>
  <c r="M332" i="7"/>
  <c r="Q218" i="1"/>
  <c r="Q217" i="1"/>
  <c r="M330" i="7"/>
  <c r="Q216" i="1"/>
  <c r="Q215" i="1"/>
  <c r="Q214" i="1"/>
  <c r="M328" i="7"/>
  <c r="Q213" i="1"/>
  <c r="M327" i="7"/>
  <c r="Q212" i="1"/>
  <c r="Q211" i="1"/>
  <c r="M326" i="7"/>
  <c r="Q210" i="1"/>
  <c r="M325" i="7"/>
  <c r="Q209" i="1"/>
  <c r="M324" i="7"/>
  <c r="Q208" i="1"/>
  <c r="M323" i="7"/>
  <c r="Q207" i="1"/>
  <c r="M322" i="7"/>
  <c r="Q206" i="1"/>
  <c r="Q205" i="1"/>
  <c r="M321" i="7"/>
  <c r="Q204" i="1"/>
  <c r="M320" i="7"/>
  <c r="Q203" i="1"/>
  <c r="M319" i="7"/>
  <c r="Q202" i="1"/>
  <c r="M318" i="7"/>
  <c r="Q201" i="1"/>
  <c r="M317" i="7"/>
  <c r="Q200" i="1"/>
  <c r="Q199" i="1"/>
  <c r="M314" i="7"/>
  <c r="Q198" i="1"/>
  <c r="M313" i="7"/>
  <c r="Q197" i="1"/>
  <c r="M312" i="7"/>
  <c r="Q196" i="1"/>
  <c r="M311" i="7"/>
  <c r="Q195" i="1"/>
  <c r="M309" i="7"/>
  <c r="Q194" i="1"/>
  <c r="M308" i="7"/>
  <c r="Q193" i="1"/>
  <c r="M307" i="7"/>
  <c r="Q192" i="1"/>
  <c r="M306" i="7"/>
  <c r="Q191" i="1"/>
  <c r="M305" i="7"/>
  <c r="Q190" i="1"/>
  <c r="M304" i="7"/>
  <c r="Q189" i="1"/>
  <c r="M303" i="7"/>
  <c r="Q188" i="1"/>
  <c r="M302" i="7"/>
  <c r="Q187" i="1"/>
  <c r="M301" i="7"/>
  <c r="Q186" i="1"/>
  <c r="M300" i="7"/>
  <c r="Q185" i="1"/>
  <c r="M299" i="7"/>
  <c r="Q184" i="1"/>
  <c r="M298" i="7"/>
  <c r="Q183" i="1"/>
  <c r="M297" i="7"/>
  <c r="Q182" i="1"/>
  <c r="M296" i="7"/>
  <c r="Q181" i="1"/>
  <c r="M295" i="7"/>
  <c r="Q180" i="1"/>
  <c r="M294" i="7"/>
  <c r="Q179" i="1"/>
  <c r="M293" i="7"/>
  <c r="Q178" i="1"/>
  <c r="M292" i="7"/>
  <c r="Q177" i="1"/>
  <c r="M291" i="7"/>
  <c r="Q176" i="1"/>
  <c r="M290" i="7"/>
  <c r="Q175" i="1"/>
  <c r="M289" i="7"/>
  <c r="Q174" i="1"/>
  <c r="M288" i="7"/>
  <c r="Q173" i="1"/>
  <c r="Q172" i="1"/>
  <c r="Q171" i="1"/>
  <c r="Q170" i="1"/>
  <c r="Q169" i="1"/>
  <c r="Q168" i="1"/>
  <c r="Q167" i="1"/>
  <c r="M287" i="7"/>
  <c r="Q166" i="1"/>
  <c r="M286" i="7"/>
  <c r="Q165" i="1"/>
  <c r="M285" i="7"/>
  <c r="Q164" i="1"/>
  <c r="M284" i="7"/>
  <c r="Q163" i="1"/>
  <c r="M283" i="7"/>
  <c r="Q162" i="1"/>
  <c r="M259" i="7"/>
  <c r="Q161" i="1"/>
  <c r="Q160" i="1"/>
  <c r="M258" i="7"/>
  <c r="Q159" i="1"/>
  <c r="Q158" i="1"/>
  <c r="M256" i="7"/>
  <c r="Q157" i="1"/>
  <c r="M255" i="7"/>
  <c r="Q156" i="1"/>
  <c r="M254" i="7"/>
  <c r="Q155" i="1"/>
  <c r="M253" i="7"/>
  <c r="Q154" i="1"/>
  <c r="M252" i="7"/>
  <c r="Q153" i="1"/>
  <c r="M251" i="7"/>
  <c r="Q152" i="1"/>
  <c r="Q151" i="1"/>
  <c r="M249" i="7"/>
  <c r="Q150" i="1"/>
  <c r="M248" i="7"/>
  <c r="Q149" i="1"/>
  <c r="Q148" i="1"/>
  <c r="M247" i="7"/>
  <c r="Q147" i="1"/>
  <c r="M246" i="7"/>
  <c r="Q146" i="1"/>
  <c r="M245" i="7"/>
  <c r="Q145" i="1"/>
  <c r="M244" i="7"/>
  <c r="Q144" i="1"/>
  <c r="Q143" i="1"/>
  <c r="M243" i="7"/>
  <c r="Q142" i="1"/>
  <c r="M242" i="7"/>
  <c r="Q141" i="1"/>
  <c r="M241" i="7"/>
  <c r="Q140" i="1"/>
  <c r="M250" i="7"/>
  <c r="Q139" i="1"/>
  <c r="M240" i="7"/>
  <c r="Q138" i="1"/>
  <c r="M239" i="7"/>
  <c r="Q137" i="1"/>
  <c r="M238" i="7"/>
  <c r="Q136" i="1"/>
  <c r="Q135" i="1"/>
  <c r="M235" i="7"/>
  <c r="Q134" i="1"/>
  <c r="M234" i="7"/>
  <c r="Q133" i="1"/>
  <c r="M233" i="7"/>
  <c r="Q132" i="1"/>
  <c r="M232" i="7"/>
  <c r="Q131" i="1"/>
  <c r="M230" i="7"/>
  <c r="Q130" i="1"/>
  <c r="M229" i="7"/>
  <c r="Q129" i="1"/>
  <c r="M228" i="7"/>
  <c r="Q128" i="1"/>
  <c r="Q126" i="1"/>
  <c r="M226" i="7"/>
  <c r="Q125" i="1"/>
  <c r="M225" i="7"/>
  <c r="Q124" i="1"/>
  <c r="M224" i="7"/>
  <c r="Q123" i="1"/>
  <c r="M223" i="7"/>
  <c r="Q122" i="1"/>
  <c r="M222" i="7"/>
  <c r="Q121" i="1"/>
  <c r="M221" i="7"/>
  <c r="Q120" i="1"/>
  <c r="M220" i="7"/>
  <c r="Q119" i="1"/>
  <c r="Q118" i="1"/>
  <c r="M218" i="7"/>
  <c r="Q117" i="1"/>
  <c r="M217" i="7"/>
  <c r="Q116" i="1"/>
  <c r="M216" i="7"/>
  <c r="Q115" i="1"/>
  <c r="M215" i="7"/>
  <c r="Q114" i="1"/>
  <c r="M214" i="7"/>
  <c r="Q113" i="1"/>
  <c r="M213" i="7"/>
  <c r="Q112" i="1"/>
  <c r="M212" i="7"/>
  <c r="Q111" i="1"/>
  <c r="Q110" i="1"/>
  <c r="M210" i="7"/>
  <c r="Q109" i="1"/>
  <c r="Q108" i="1"/>
  <c r="Q107" i="1"/>
  <c r="Q106" i="1"/>
  <c r="Q105" i="1"/>
  <c r="Q104" i="1"/>
  <c r="Q103" i="1"/>
  <c r="Q102" i="1"/>
  <c r="M206" i="7"/>
  <c r="Q101" i="1"/>
  <c r="Q100" i="1"/>
  <c r="M204" i="7"/>
  <c r="Q99" i="1"/>
  <c r="M203" i="7"/>
  <c r="Q98" i="1"/>
  <c r="M202" i="7"/>
  <c r="Q97" i="1"/>
  <c r="M201" i="7"/>
  <c r="Q96" i="1"/>
  <c r="M200" i="7"/>
  <c r="Q95" i="1"/>
  <c r="M199" i="7"/>
  <c r="Q94" i="1"/>
  <c r="M198" i="7"/>
  <c r="Q93" i="1"/>
  <c r="M197" i="7"/>
  <c r="Q92" i="1"/>
  <c r="M196" i="7"/>
  <c r="Q91" i="1"/>
  <c r="M195" i="7"/>
  <c r="Q90" i="1"/>
  <c r="M154" i="7"/>
  <c r="M153" i="7"/>
  <c r="M152" i="7"/>
  <c r="M151" i="7"/>
  <c r="M150" i="7"/>
  <c r="M149" i="7"/>
  <c r="M148" i="7"/>
  <c r="M147" i="7"/>
  <c r="M146" i="7"/>
  <c r="M143" i="7"/>
  <c r="M136" i="7"/>
  <c r="M135" i="7"/>
  <c r="M133" i="7"/>
  <c r="M130" i="7"/>
  <c r="M113" i="7"/>
  <c r="M108" i="7"/>
  <c r="M107" i="7"/>
  <c r="M100" i="7"/>
  <c r="M91" i="7"/>
  <c r="M90" i="7"/>
  <c r="M86" i="7"/>
  <c r="M81" i="7"/>
  <c r="M80" i="7"/>
  <c r="M79" i="7"/>
  <c r="M78" i="7"/>
  <c r="M77" i="7"/>
  <c r="M75" i="7"/>
  <c r="M73" i="7"/>
  <c r="M70" i="7"/>
  <c r="M68" i="7"/>
  <c r="M67" i="7"/>
  <c r="M4" i="7"/>
  <c r="A75" i="21"/>
  <c r="A76" i="21"/>
  <c r="E20" i="10"/>
  <c r="M66" i="7" s="1"/>
  <c r="E19" i="10"/>
  <c r="M65" i="7" s="1"/>
  <c r="E17" i="10"/>
  <c r="M63" i="7" s="1"/>
  <c r="E16" i="10"/>
  <c r="M62" i="7" s="1"/>
  <c r="E90" i="10"/>
  <c r="E88" i="10"/>
  <c r="E87" i="10"/>
  <c r="E85" i="10"/>
  <c r="E81" i="10"/>
  <c r="M145" i="7" s="1"/>
  <c r="E80" i="10"/>
  <c r="M144" i="7" s="1"/>
  <c r="E78" i="10"/>
  <c r="M142" i="7" s="1"/>
  <c r="M139" i="7"/>
  <c r="E74" i="10"/>
  <c r="M137" i="7" s="1"/>
  <c r="E71" i="10"/>
  <c r="E70" i="10"/>
  <c r="E69" i="10"/>
  <c r="M132" i="7" s="1"/>
  <c r="E68" i="10"/>
  <c r="M131" i="7" s="1"/>
  <c r="E67" i="10"/>
  <c r="E66" i="10"/>
  <c r="M129" i="7" s="1"/>
  <c r="E65" i="10"/>
  <c r="M116" i="7" s="1"/>
  <c r="E64" i="10"/>
  <c r="M115" i="7" s="1"/>
  <c r="E62" i="10"/>
  <c r="E60" i="10"/>
  <c r="M111" i="7" s="1"/>
  <c r="E59" i="10"/>
  <c r="M110" i="7" s="1"/>
  <c r="E58" i="10"/>
  <c r="M109" i="7" s="1"/>
  <c r="E55" i="10"/>
  <c r="M106" i="7" s="1"/>
  <c r="E53" i="10"/>
  <c r="M102" i="7" s="1"/>
  <c r="M101" i="7"/>
  <c r="E51" i="10"/>
  <c r="E50" i="10"/>
  <c r="M99" i="7" s="1"/>
  <c r="E49" i="10"/>
  <c r="M98" i="7" s="1"/>
  <c r="E48" i="10"/>
  <c r="M97" i="7" s="1"/>
  <c r="E47" i="10"/>
  <c r="M96" i="7" s="1"/>
  <c r="E46" i="10"/>
  <c r="M95" i="7" s="1"/>
  <c r="E45" i="10"/>
  <c r="M94" i="7" s="1"/>
  <c r="E44" i="10"/>
  <c r="M92" i="7" s="1"/>
  <c r="E43" i="10"/>
  <c r="E42" i="10"/>
  <c r="E41" i="10"/>
  <c r="M88" i="7" s="1"/>
  <c r="E40" i="10"/>
  <c r="M87" i="7" s="1"/>
  <c r="E38" i="10"/>
  <c r="M85" i="7" s="1"/>
  <c r="E37" i="10"/>
  <c r="M84" i="7" s="1"/>
  <c r="E36" i="10"/>
  <c r="M83" i="7" s="1"/>
  <c r="E35" i="10"/>
  <c r="M82" i="7" s="1"/>
  <c r="E34" i="10"/>
  <c r="E33" i="10"/>
  <c r="E31" i="10"/>
  <c r="E29" i="10"/>
  <c r="M76" i="7" s="1"/>
  <c r="E26" i="10"/>
  <c r="E25" i="10"/>
  <c r="M71" i="7" s="1"/>
  <c r="E23" i="10"/>
  <c r="M69" i="7" s="1"/>
  <c r="E15" i="10"/>
  <c r="E14" i="10"/>
  <c r="E13" i="10"/>
  <c r="M59" i="7" s="1"/>
  <c r="E12" i="10"/>
  <c r="M58" i="7" s="1"/>
  <c r="E11" i="10"/>
  <c r="M57" i="7" s="1"/>
  <c r="E10" i="10"/>
  <c r="M56" i="7" s="1"/>
  <c r="E9" i="10"/>
  <c r="M55" i="7" s="1"/>
  <c r="E8" i="10"/>
  <c r="M54" i="7" s="1"/>
  <c r="E7" i="10"/>
  <c r="M53" i="7" s="1"/>
  <c r="E6" i="10"/>
  <c r="M52" i="7" s="1"/>
  <c r="Q89" i="1"/>
  <c r="Q88" i="1"/>
  <c r="Q87" i="1"/>
  <c r="Q86" i="1"/>
  <c r="Q85" i="1"/>
  <c r="Q84" i="1"/>
  <c r="Q83" i="1"/>
  <c r="Q82" i="1"/>
  <c r="Q81" i="1"/>
  <c r="Q80" i="1"/>
  <c r="Q79" i="1"/>
  <c r="Q77" i="1"/>
  <c r="Q74" i="1"/>
  <c r="Q72" i="1"/>
  <c r="Q71" i="1"/>
  <c r="Q70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3" i="1"/>
  <c r="Q32" i="1"/>
  <c r="Q31" i="1"/>
  <c r="Q30" i="1"/>
  <c r="Q29" i="1"/>
  <c r="Q28" i="1"/>
  <c r="Q27" i="1"/>
  <c r="Q26" i="1"/>
  <c r="Q25" i="1"/>
  <c r="Q24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C81" i="21"/>
  <c r="L76" i="21"/>
  <c r="M76" i="21" s="1"/>
  <c r="L75" i="21"/>
  <c r="M75" i="21" s="1"/>
  <c r="L74" i="21"/>
  <c r="M74" i="21" s="1"/>
  <c r="B74" i="21"/>
  <c r="C74" i="21" s="1"/>
  <c r="L73" i="21"/>
  <c r="B73" i="21"/>
  <c r="C73" i="21" s="1"/>
  <c r="B72" i="21"/>
  <c r="C72" i="21" s="1"/>
  <c r="I60" i="20"/>
  <c r="I62" i="20" s="1"/>
  <c r="I21" i="20"/>
  <c r="I16" i="20"/>
  <c r="I13" i="20"/>
  <c r="E61" i="10" s="1"/>
  <c r="M112" i="7" s="1"/>
  <c r="I32" i="20"/>
  <c r="E72" i="11" s="1"/>
  <c r="E132" i="11"/>
  <c r="M331" i="7" s="1"/>
  <c r="M162" i="1" l="1"/>
  <c r="M257" i="7"/>
  <c r="E1" i="11"/>
  <c r="O146" i="1"/>
  <c r="O95" i="1"/>
  <c r="O99" i="1"/>
  <c r="O107" i="1"/>
  <c r="O115" i="1"/>
  <c r="O119" i="1"/>
  <c r="O140" i="1"/>
  <c r="O148" i="1"/>
  <c r="O152" i="1"/>
  <c r="O160" i="1"/>
  <c r="O168" i="1"/>
  <c r="O176" i="1"/>
  <c r="O180" i="1"/>
  <c r="O188" i="1"/>
  <c r="O196" i="1"/>
  <c r="O200" i="1"/>
  <c r="O208" i="1"/>
  <c r="O216" i="1"/>
  <c r="O220" i="1"/>
  <c r="O234" i="1"/>
  <c r="O104" i="1"/>
  <c r="O120" i="1"/>
  <c r="O129" i="1"/>
  <c r="O141" i="1"/>
  <c r="O145" i="1"/>
  <c r="O149" i="1"/>
  <c r="O161" i="1"/>
  <c r="O169" i="1"/>
  <c r="O181" i="1"/>
  <c r="O189" i="1"/>
  <c r="O209" i="1"/>
  <c r="O227" i="1"/>
  <c r="O165" i="1"/>
  <c r="O185" i="1"/>
  <c r="O132" i="1"/>
  <c r="O178" i="1"/>
  <c r="O179" i="1"/>
  <c r="O113" i="1"/>
  <c r="O134" i="1"/>
  <c r="O154" i="1"/>
  <c r="O174" i="1"/>
  <c r="O194" i="1"/>
  <c r="O214" i="1"/>
  <c r="O231" i="1"/>
  <c r="O232" i="1"/>
  <c r="O94" i="1"/>
  <c r="O106" i="1"/>
  <c r="O114" i="1"/>
  <c r="O147" i="1"/>
  <c r="O155" i="1"/>
  <c r="O187" i="1"/>
  <c r="O195" i="1"/>
  <c r="O233" i="1"/>
  <c r="O197" i="1"/>
  <c r="O128" i="1"/>
  <c r="O38" i="1"/>
  <c r="O90" i="1"/>
  <c r="O198" i="1"/>
  <c r="O139" i="1"/>
  <c r="O58" i="1"/>
  <c r="O80" i="1"/>
  <c r="O26" i="1"/>
  <c r="O37" i="1"/>
  <c r="O57" i="1"/>
  <c r="O67" i="1"/>
  <c r="O46" i="1"/>
  <c r="O122" i="1"/>
  <c r="O163" i="1"/>
  <c r="O91" i="1"/>
  <c r="O111" i="1"/>
  <c r="O192" i="1"/>
  <c r="O205" i="1"/>
  <c r="O212" i="1"/>
  <c r="O204" i="1"/>
  <c r="O105" i="1"/>
  <c r="O166" i="1"/>
  <c r="O96" i="1"/>
  <c r="O116" i="1"/>
  <c r="O137" i="1"/>
  <c r="O157" i="1"/>
  <c r="O177" i="1"/>
  <c r="O217" i="1"/>
  <c r="O186" i="1"/>
  <c r="O125" i="1"/>
  <c r="O206" i="1"/>
  <c r="O138" i="1"/>
  <c r="O93" i="1"/>
  <c r="O117" i="1"/>
  <c r="O103" i="1"/>
  <c r="O123" i="1"/>
  <c r="O144" i="1"/>
  <c r="O164" i="1"/>
  <c r="O184" i="1"/>
  <c r="O230" i="1"/>
  <c r="O101" i="1"/>
  <c r="O218" i="1"/>
  <c r="O121" i="1"/>
  <c r="O142" i="1"/>
  <c r="O162" i="1"/>
  <c r="O182" i="1"/>
  <c r="O228" i="1"/>
  <c r="O201" i="1"/>
  <c r="O136" i="1"/>
  <c r="O202" i="1"/>
  <c r="O203" i="1"/>
  <c r="O131" i="1"/>
  <c r="O171" i="1"/>
  <c r="O211" i="1"/>
  <c r="O156" i="1"/>
  <c r="O98" i="1"/>
  <c r="O219" i="1"/>
  <c r="O109" i="1"/>
  <c r="O150" i="1"/>
  <c r="O170" i="1"/>
  <c r="O190" i="1"/>
  <c r="O210" i="1"/>
  <c r="O130" i="1"/>
  <c r="O97" i="1"/>
  <c r="O124" i="1"/>
  <c r="O172" i="1"/>
  <c r="O153" i="1"/>
  <c r="O17" i="1"/>
  <c r="M64" i="7"/>
  <c r="O133" i="1"/>
  <c r="O100" i="1"/>
  <c r="M205" i="7"/>
  <c r="O53" i="1"/>
  <c r="M105" i="7"/>
  <c r="O143" i="1"/>
  <c r="O213" i="1"/>
  <c r="O14" i="1"/>
  <c r="M60" i="7"/>
  <c r="O13" i="1"/>
  <c r="O118" i="1"/>
  <c r="M219" i="7"/>
  <c r="O199" i="1"/>
  <c r="M316" i="7"/>
  <c r="O126" i="1"/>
  <c r="M227" i="7"/>
  <c r="O167" i="1"/>
  <c r="O112" i="1"/>
  <c r="O135" i="1"/>
  <c r="M237" i="7"/>
  <c r="O215" i="1"/>
  <c r="M329" i="7"/>
  <c r="O108" i="1"/>
  <c r="M209" i="7"/>
  <c r="O102" i="1"/>
  <c r="M208" i="7"/>
  <c r="O229" i="1"/>
  <c r="M351" i="7"/>
  <c r="O25" i="1"/>
  <c r="M72" i="7"/>
  <c r="O110" i="1"/>
  <c r="M211" i="7"/>
  <c r="O151" i="1"/>
  <c r="O193" i="1"/>
  <c r="O173" i="1"/>
  <c r="O92" i="1"/>
  <c r="O16" i="1"/>
  <c r="O66" i="1"/>
  <c r="O84" i="1"/>
  <c r="O81" i="1"/>
  <c r="O45" i="1"/>
  <c r="O54" i="1"/>
  <c r="O8" i="1"/>
  <c r="O89" i="1"/>
  <c r="O6" i="1"/>
  <c r="O42" i="1"/>
  <c r="O49" i="1"/>
  <c r="O70" i="1"/>
  <c r="O50" i="1"/>
  <c r="O18" i="1"/>
  <c r="O29" i="1"/>
  <c r="O9" i="1"/>
  <c r="O41" i="1"/>
  <c r="O85" i="1"/>
  <c r="O10" i="1"/>
  <c r="O62" i="1"/>
  <c r="O74" i="1"/>
  <c r="O86" i="1"/>
  <c r="O61" i="1"/>
  <c r="O30" i="1"/>
  <c r="O21" i="1"/>
  <c r="O33" i="1"/>
  <c r="O32" i="1"/>
  <c r="O22" i="1"/>
  <c r="O88" i="1"/>
  <c r="O65" i="1"/>
  <c r="O77" i="1"/>
  <c r="O24" i="1"/>
  <c r="O59" i="1"/>
  <c r="O159" i="1"/>
  <c r="O175" i="1"/>
  <c r="O183" i="1"/>
  <c r="O191" i="1"/>
  <c r="O207" i="1"/>
  <c r="O79" i="1"/>
  <c r="O87" i="1"/>
  <c r="O11" i="1"/>
  <c r="O19" i="1"/>
  <c r="O27" i="1"/>
  <c r="O36" i="1"/>
  <c r="O44" i="1"/>
  <c r="O52" i="1"/>
  <c r="O60" i="1"/>
  <c r="O68" i="1"/>
  <c r="O35" i="1"/>
  <c r="O12" i="1"/>
  <c r="O20" i="1"/>
  <c r="O28" i="1"/>
  <c r="O82" i="1"/>
  <c r="O51" i="1"/>
  <c r="O71" i="1"/>
  <c r="O83" i="1"/>
  <c r="O39" i="1"/>
  <c r="O47" i="1"/>
  <c r="O55" i="1"/>
  <c r="O63" i="1"/>
  <c r="O72" i="1"/>
  <c r="O43" i="1"/>
  <c r="O7" i="1"/>
  <c r="O15" i="1"/>
  <c r="O23" i="1"/>
  <c r="O31" i="1"/>
  <c r="O40" i="1"/>
  <c r="O48" i="1"/>
  <c r="O56" i="1"/>
  <c r="O64" i="1"/>
  <c r="N1" i="1"/>
  <c r="F73" i="21"/>
  <c r="J80" i="21"/>
  <c r="F72" i="21"/>
  <c r="D72" i="21"/>
  <c r="M73" i="21"/>
  <c r="J81" i="21" s="1"/>
  <c r="F74" i="21"/>
  <c r="I1" i="20"/>
  <c r="O158" i="1" l="1"/>
  <c r="M2" i="7"/>
  <c r="B80" i="21"/>
  <c r="F82" i="21"/>
  <c r="D82" i="21"/>
  <c r="M228" i="1"/>
  <c r="I228" i="1"/>
  <c r="I189" i="1"/>
  <c r="M181" i="1"/>
  <c r="M159" i="1"/>
  <c r="L225" i="7"/>
  <c r="F350" i="7"/>
  <c r="L350" i="7"/>
  <c r="J350" i="7"/>
  <c r="F304" i="7"/>
  <c r="L304" i="7"/>
  <c r="J304" i="7"/>
  <c r="F296" i="7"/>
  <c r="L296" i="7"/>
  <c r="J296" i="7"/>
  <c r="F257" i="7"/>
  <c r="F225" i="7"/>
  <c r="L217" i="7"/>
  <c r="L143" i="7"/>
  <c r="J143" i="7"/>
  <c r="L133" i="7"/>
  <c r="J133" i="7"/>
  <c r="L134" i="7"/>
  <c r="J134" i="7"/>
  <c r="F82" i="7"/>
  <c r="L82" i="7"/>
  <c r="J82" i="7"/>
  <c r="R350" i="7" l="1"/>
  <c r="R133" i="7"/>
  <c r="R296" i="7"/>
  <c r="R304" i="7"/>
  <c r="R82" i="7"/>
  <c r="R143" i="7"/>
  <c r="F141" i="11"/>
  <c r="F139" i="11"/>
  <c r="M189" i="1"/>
  <c r="K228" i="1"/>
  <c r="M116" i="1"/>
  <c r="M124" i="1"/>
  <c r="K189" i="1"/>
  <c r="J225" i="7"/>
  <c r="R225" i="7" s="1"/>
  <c r="K181" i="1"/>
  <c r="K159" i="1"/>
  <c r="K124" i="1"/>
  <c r="J217" i="7"/>
  <c r="R217" i="7" s="1"/>
  <c r="K116" i="1"/>
  <c r="D82" i="23" l="1"/>
  <c r="F82" i="23"/>
  <c r="D83" i="21"/>
  <c r="D84" i="21" s="1"/>
  <c r="R345" i="7"/>
  <c r="F83" i="21"/>
  <c r="F84" i="21" s="1"/>
  <c r="R347" i="7"/>
  <c r="C65" i="21"/>
  <c r="B63" i="21"/>
  <c r="B62" i="21"/>
  <c r="C62" i="21" s="1"/>
  <c r="B61" i="21"/>
  <c r="L60" i="21"/>
  <c r="M60" i="21" s="1"/>
  <c r="F60" i="21"/>
  <c r="A60" i="21"/>
  <c r="L59" i="21"/>
  <c r="M59" i="21" s="1"/>
  <c r="C59" i="21"/>
  <c r="A59" i="21"/>
  <c r="L58" i="21"/>
  <c r="M58" i="21" s="1"/>
  <c r="B58" i="21"/>
  <c r="C58" i="21" s="1"/>
  <c r="B57" i="21"/>
  <c r="F57" i="21" s="1"/>
  <c r="B56" i="21"/>
  <c r="F56" i="21" s="1"/>
  <c r="C49" i="21"/>
  <c r="B47" i="21"/>
  <c r="C47" i="21" s="1"/>
  <c r="B46" i="21"/>
  <c r="F46" i="21" s="1"/>
  <c r="B45" i="21"/>
  <c r="L44" i="21"/>
  <c r="M44" i="21" s="1"/>
  <c r="C44" i="21"/>
  <c r="A44" i="21"/>
  <c r="L43" i="21"/>
  <c r="M43" i="21" s="1"/>
  <c r="F43" i="21"/>
  <c r="A43" i="21"/>
  <c r="L42" i="21"/>
  <c r="M42" i="21" s="1"/>
  <c r="B42" i="21"/>
  <c r="F42" i="21" s="1"/>
  <c r="C41" i="21"/>
  <c r="C40" i="21"/>
  <c r="E34" i="21"/>
  <c r="D34" i="21"/>
  <c r="F74" i="10" s="1"/>
  <c r="C33" i="21"/>
  <c r="B32" i="21"/>
  <c r="C32" i="21" s="1"/>
  <c r="B31" i="21"/>
  <c r="B30" i="21"/>
  <c r="C30" i="21" s="1"/>
  <c r="B29" i="21"/>
  <c r="C29" i="21" s="1"/>
  <c r="B28" i="21"/>
  <c r="B20" i="21"/>
  <c r="F20" i="21" s="1"/>
  <c r="B19" i="21"/>
  <c r="C19" i="21" s="1"/>
  <c r="D18" i="21"/>
  <c r="B17" i="21"/>
  <c r="F17" i="21" s="1"/>
  <c r="C16" i="21"/>
  <c r="D15" i="21"/>
  <c r="B14" i="21"/>
  <c r="C14" i="21" s="1"/>
  <c r="D13" i="21"/>
  <c r="C7" i="21"/>
  <c r="C5" i="21"/>
  <c r="C4" i="21"/>
  <c r="J60" i="20"/>
  <c r="R11" i="20" s="1"/>
  <c r="H60" i="20"/>
  <c r="Q11" i="20" s="1"/>
  <c r="G60" i="20"/>
  <c r="F60" i="20"/>
  <c r="E60" i="20"/>
  <c r="D60" i="20"/>
  <c r="C60" i="20"/>
  <c r="H48" i="20"/>
  <c r="H55" i="20" s="1"/>
  <c r="Q10" i="20" s="1"/>
  <c r="Q46" i="20"/>
  <c r="O46" i="20"/>
  <c r="N46" i="20"/>
  <c r="R44" i="20"/>
  <c r="R46" i="20" s="1"/>
  <c r="P44" i="20"/>
  <c r="C44" i="20"/>
  <c r="E44" i="20" s="1"/>
  <c r="J55" i="20"/>
  <c r="F72" i="11"/>
  <c r="M9" i="20"/>
  <c r="M32" i="20"/>
  <c r="H32" i="20"/>
  <c r="Q9" i="20" s="1"/>
  <c r="M31" i="20"/>
  <c r="P29" i="20"/>
  <c r="P46" i="20" s="1"/>
  <c r="F29" i="20"/>
  <c r="R23" i="20"/>
  <c r="O23" i="20"/>
  <c r="N23" i="20"/>
  <c r="M23" i="20"/>
  <c r="H21" i="20"/>
  <c r="Q8" i="20" s="1"/>
  <c r="G21" i="20"/>
  <c r="P8" i="20" s="1"/>
  <c r="F21" i="20"/>
  <c r="O8" i="20" s="1"/>
  <c r="E21" i="20"/>
  <c r="D21" i="20"/>
  <c r="M8" i="20" s="1"/>
  <c r="C21" i="20"/>
  <c r="J16" i="20"/>
  <c r="R6" i="20" s="1"/>
  <c r="H16" i="20"/>
  <c r="Q6" i="20" s="1"/>
  <c r="G16" i="20"/>
  <c r="P6" i="20" s="1"/>
  <c r="F16" i="20"/>
  <c r="O6" i="20" s="1"/>
  <c r="E16" i="20"/>
  <c r="D16" i="20"/>
  <c r="C16" i="20"/>
  <c r="J13" i="20"/>
  <c r="R7" i="20" s="1"/>
  <c r="H13" i="20"/>
  <c r="Q7" i="20" s="1"/>
  <c r="G13" i="20"/>
  <c r="F13" i="20"/>
  <c r="O7" i="20" s="1"/>
  <c r="E13" i="20"/>
  <c r="N7" i="20" s="1"/>
  <c r="D13" i="20"/>
  <c r="M7" i="20" s="1"/>
  <c r="C13" i="20"/>
  <c r="P11" i="20"/>
  <c r="O11" i="20"/>
  <c r="N11" i="20"/>
  <c r="M11" i="20"/>
  <c r="P9" i="20"/>
  <c r="N9" i="20"/>
  <c r="N8" i="20"/>
  <c r="N6" i="20"/>
  <c r="M6" i="20"/>
  <c r="R4" i="20"/>
  <c r="Q4" i="20"/>
  <c r="P4" i="20"/>
  <c r="O4" i="20"/>
  <c r="N4" i="20"/>
  <c r="M4" i="20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D35" i="21" l="1"/>
  <c r="D34" i="23"/>
  <c r="R8" i="20"/>
  <c r="F88" i="10"/>
  <c r="M46" i="20"/>
  <c r="R10" i="20"/>
  <c r="R9" i="20"/>
  <c r="J1" i="20"/>
  <c r="F32" i="21"/>
  <c r="E72" i="21" a="1"/>
  <c r="G46" i="21"/>
  <c r="G72" i="21"/>
  <c r="M57" i="21"/>
  <c r="J65" i="21" s="1"/>
  <c r="J64" i="21"/>
  <c r="E18" i="21" a="1"/>
  <c r="C15" i="21"/>
  <c r="F29" i="21"/>
  <c r="C13" i="21"/>
  <c r="F13" i="21"/>
  <c r="F30" i="21"/>
  <c r="B34" i="21"/>
  <c r="C17" i="21"/>
  <c r="C28" i="21"/>
  <c r="C34" i="21" s="1"/>
  <c r="F28" i="21"/>
  <c r="E15" i="21" a="1"/>
  <c r="C18" i="21"/>
  <c r="G18" i="21"/>
  <c r="F59" i="21"/>
  <c r="D59" i="21"/>
  <c r="D62" i="21"/>
  <c r="C56" i="21"/>
  <c r="F58" i="21"/>
  <c r="F62" i="21"/>
  <c r="D56" i="21"/>
  <c r="C57" i="21"/>
  <c r="C60" i="21"/>
  <c r="E62" i="21" a="1"/>
  <c r="C42" i="21"/>
  <c r="D40" i="21"/>
  <c r="F44" i="21"/>
  <c r="F40" i="21"/>
  <c r="F41" i="21"/>
  <c r="M41" i="21"/>
  <c r="C61" i="21"/>
  <c r="F61" i="21"/>
  <c r="D61" i="21"/>
  <c r="D16" i="21"/>
  <c r="D14" i="21"/>
  <c r="D19" i="21"/>
  <c r="E14" i="21" a="1"/>
  <c r="F19" i="21"/>
  <c r="F16" i="21"/>
  <c r="C43" i="20"/>
  <c r="C55" i="20" s="1"/>
  <c r="C62" i="20" s="1"/>
  <c r="S44" i="20"/>
  <c r="S46" i="20" s="1"/>
  <c r="F45" i="21"/>
  <c r="D45" i="21"/>
  <c r="C45" i="21"/>
  <c r="F63" i="21"/>
  <c r="C63" i="21"/>
  <c r="D12" i="21"/>
  <c r="E13" i="21" a="1"/>
  <c r="F15" i="21"/>
  <c r="F18" i="21"/>
  <c r="G19" i="21"/>
  <c r="G40" i="21"/>
  <c r="C43" i="21"/>
  <c r="C46" i="21"/>
  <c r="F47" i="21"/>
  <c r="E56" i="21" a="1"/>
  <c r="G59" i="21"/>
  <c r="G61" i="21"/>
  <c r="G62" i="21"/>
  <c r="D43" i="21"/>
  <c r="D46" i="21"/>
  <c r="G47" i="21"/>
  <c r="C20" i="21"/>
  <c r="E43" i="21" a="1"/>
  <c r="E45" i="21" a="1"/>
  <c r="E46" i="21" a="1"/>
  <c r="E12" i="21" a="1"/>
  <c r="F14" i="21"/>
  <c r="F12" i="21"/>
  <c r="Q28" i="21"/>
  <c r="G56" i="21"/>
  <c r="C12" i="21"/>
  <c r="E16" i="21" a="1"/>
  <c r="E19" i="21" a="1"/>
  <c r="E40" i="21" a="1"/>
  <c r="G43" i="21"/>
  <c r="G45" i="21"/>
  <c r="E59" i="21" a="1"/>
  <c r="E61" i="21" a="1"/>
  <c r="O9" i="20"/>
  <c r="F44" i="20"/>
  <c r="E43" i="20"/>
  <c r="E55" i="20" s="1"/>
  <c r="E62" i="20" s="1"/>
  <c r="Q12" i="20"/>
  <c r="H62" i="20"/>
  <c r="J62" i="20"/>
  <c r="H1" i="20"/>
  <c r="P7" i="20"/>
  <c r="D44" i="20"/>
  <c r="D43" i="20" s="1"/>
  <c r="D55" i="20" s="1"/>
  <c r="F360" i="7"/>
  <c r="F359" i="7"/>
  <c r="F358" i="7"/>
  <c r="F357" i="7"/>
  <c r="F356" i="7"/>
  <c r="F355" i="7"/>
  <c r="F354" i="7"/>
  <c r="F353" i="7"/>
  <c r="F352" i="7"/>
  <c r="F351" i="7"/>
  <c r="F349" i="7"/>
  <c r="F342" i="7"/>
  <c r="F341" i="7"/>
  <c r="F340" i="7"/>
  <c r="F339" i="7"/>
  <c r="F338" i="7"/>
  <c r="F337" i="7"/>
  <c r="F336" i="7"/>
  <c r="F335" i="7"/>
  <c r="F334" i="7"/>
  <c r="F333" i="7"/>
  <c r="F332" i="7"/>
  <c r="F331" i="7"/>
  <c r="F330" i="7"/>
  <c r="F329" i="7"/>
  <c r="F328" i="7"/>
  <c r="F327" i="7"/>
  <c r="F326" i="7"/>
  <c r="F325" i="7"/>
  <c r="F324" i="7"/>
  <c r="F323" i="7"/>
  <c r="F322" i="7"/>
  <c r="F321" i="7"/>
  <c r="F320" i="7"/>
  <c r="F319" i="7"/>
  <c r="F318" i="7"/>
  <c r="F317" i="7"/>
  <c r="F316" i="7"/>
  <c r="F315" i="7"/>
  <c r="F314" i="7"/>
  <c r="F313" i="7"/>
  <c r="F312" i="7"/>
  <c r="F311" i="7"/>
  <c r="F310" i="7"/>
  <c r="F309" i="7"/>
  <c r="F308" i="7"/>
  <c r="F307" i="7"/>
  <c r="F306" i="7"/>
  <c r="F305" i="7"/>
  <c r="F303" i="7"/>
  <c r="F302" i="7"/>
  <c r="F301" i="7"/>
  <c r="F300" i="7"/>
  <c r="F299" i="7"/>
  <c r="F298" i="7"/>
  <c r="F297" i="7"/>
  <c r="F295" i="7"/>
  <c r="F294" i="7"/>
  <c r="F293" i="7"/>
  <c r="F292" i="7"/>
  <c r="F291" i="7"/>
  <c r="F290" i="7"/>
  <c r="F289" i="7"/>
  <c r="F288" i="7"/>
  <c r="F287" i="7"/>
  <c r="F286" i="7"/>
  <c r="F285" i="7"/>
  <c r="F284" i="7"/>
  <c r="F283" i="7"/>
  <c r="F282" i="7"/>
  <c r="F281" i="7"/>
  <c r="F280" i="7"/>
  <c r="F279" i="7"/>
  <c r="F278" i="7"/>
  <c r="F277" i="7"/>
  <c r="F276" i="7"/>
  <c r="F275" i="7"/>
  <c r="F274" i="7"/>
  <c r="F273" i="7"/>
  <c r="F272" i="7"/>
  <c r="F271" i="7"/>
  <c r="F270" i="7"/>
  <c r="F269" i="7"/>
  <c r="F268" i="7"/>
  <c r="F267" i="7"/>
  <c r="F266" i="7"/>
  <c r="F265" i="7"/>
  <c r="F264" i="7"/>
  <c r="F263" i="7"/>
  <c r="F262" i="7"/>
  <c r="F261" i="7"/>
  <c r="F260" i="7"/>
  <c r="F259" i="7"/>
  <c r="F258" i="7"/>
  <c r="F256" i="7"/>
  <c r="F255" i="7"/>
  <c r="F254" i="7"/>
  <c r="F253" i="7"/>
  <c r="F252" i="7"/>
  <c r="F251" i="7"/>
  <c r="F250" i="7"/>
  <c r="F249" i="7"/>
  <c r="F248" i="7"/>
  <c r="F247" i="7"/>
  <c r="F246" i="7"/>
  <c r="F245" i="7"/>
  <c r="F244" i="7"/>
  <c r="F243" i="7"/>
  <c r="F242" i="7"/>
  <c r="F241" i="7"/>
  <c r="F240" i="7"/>
  <c r="F239" i="7"/>
  <c r="F238" i="7"/>
  <c r="F237" i="7"/>
  <c r="F236" i="7"/>
  <c r="F235" i="7"/>
  <c r="F234" i="7"/>
  <c r="F233" i="7"/>
  <c r="F232" i="7"/>
  <c r="F231" i="7"/>
  <c r="F230" i="7"/>
  <c r="F229" i="7"/>
  <c r="F228" i="7"/>
  <c r="F227" i="7"/>
  <c r="F226" i="7"/>
  <c r="F224" i="7"/>
  <c r="F223" i="7"/>
  <c r="F222" i="7"/>
  <c r="F221" i="7"/>
  <c r="F220" i="7"/>
  <c r="F219" i="7"/>
  <c r="F218" i="7"/>
  <c r="F216" i="7"/>
  <c r="F215" i="7"/>
  <c r="F214" i="7"/>
  <c r="F213" i="7"/>
  <c r="F212" i="7"/>
  <c r="F211" i="7"/>
  <c r="F210" i="7"/>
  <c r="F209" i="7"/>
  <c r="F208" i="7"/>
  <c r="F207" i="7"/>
  <c r="F206" i="7"/>
  <c r="F205" i="7"/>
  <c r="F204" i="7"/>
  <c r="F203" i="7"/>
  <c r="F202" i="7"/>
  <c r="F201" i="7"/>
  <c r="F200" i="7"/>
  <c r="F199" i="7"/>
  <c r="F198" i="7"/>
  <c r="F197" i="7"/>
  <c r="F196" i="7"/>
  <c r="F195" i="7"/>
  <c r="F194" i="7"/>
  <c r="F193" i="7"/>
  <c r="F192" i="7"/>
  <c r="F191" i="7"/>
  <c r="F190" i="7"/>
  <c r="F189" i="7"/>
  <c r="F188" i="7"/>
  <c r="F187" i="7"/>
  <c r="F186" i="7"/>
  <c r="F185" i="7"/>
  <c r="F184" i="7"/>
  <c r="F183" i="7"/>
  <c r="F182" i="7"/>
  <c r="F181" i="7"/>
  <c r="F180" i="7"/>
  <c r="F179" i="7"/>
  <c r="F178" i="7"/>
  <c r="F177" i="7"/>
  <c r="F176" i="7"/>
  <c r="F175" i="7"/>
  <c r="F174" i="7"/>
  <c r="F173" i="7"/>
  <c r="F172" i="7"/>
  <c r="F171" i="7"/>
  <c r="F170" i="7"/>
  <c r="F169" i="7"/>
  <c r="F168" i="7"/>
  <c r="F167" i="7"/>
  <c r="F166" i="7"/>
  <c r="F165" i="7"/>
  <c r="F164" i="7"/>
  <c r="F163" i="7"/>
  <c r="F162" i="7"/>
  <c r="F161" i="7"/>
  <c r="F160" i="7"/>
  <c r="F159" i="7"/>
  <c r="F158" i="7"/>
  <c r="F157" i="7"/>
  <c r="F156" i="7"/>
  <c r="F155" i="7"/>
  <c r="F154" i="7"/>
  <c r="F153" i="7"/>
  <c r="F152" i="7"/>
  <c r="F151" i="7"/>
  <c r="F150" i="7"/>
  <c r="F149" i="7"/>
  <c r="F148" i="7"/>
  <c r="F147" i="7"/>
  <c r="F146" i="7"/>
  <c r="F145" i="7"/>
  <c r="F144" i="7"/>
  <c r="F142" i="7"/>
  <c r="F139" i="7"/>
  <c r="F137" i="7"/>
  <c r="F136" i="7"/>
  <c r="F135" i="7"/>
  <c r="F134" i="7"/>
  <c r="F132" i="7"/>
  <c r="F131" i="7"/>
  <c r="F130" i="7"/>
  <c r="F129" i="7"/>
  <c r="F128" i="7"/>
  <c r="F127" i="7"/>
  <c r="F126" i="7"/>
  <c r="F125" i="7"/>
  <c r="F124" i="7"/>
  <c r="F123" i="7"/>
  <c r="F122" i="7"/>
  <c r="F121" i="7"/>
  <c r="F120" i="7"/>
  <c r="F119" i="7"/>
  <c r="F118" i="7"/>
  <c r="F117" i="7"/>
  <c r="F116" i="7"/>
  <c r="F115" i="7"/>
  <c r="F114" i="7"/>
  <c r="F113" i="7"/>
  <c r="F112" i="7"/>
  <c r="F111" i="7"/>
  <c r="F110" i="7"/>
  <c r="F109" i="7"/>
  <c r="F108" i="7"/>
  <c r="F107" i="7"/>
  <c r="F106" i="7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8" i="7"/>
  <c r="F87" i="7"/>
  <c r="F86" i="7"/>
  <c r="F85" i="7"/>
  <c r="F84" i="7"/>
  <c r="F83" i="7"/>
  <c r="F81" i="7"/>
  <c r="F80" i="7"/>
  <c r="F79" i="7"/>
  <c r="F78" i="7"/>
  <c r="F77" i="7"/>
  <c r="F76" i="7"/>
  <c r="F75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52" i="7"/>
  <c r="E507" i="2"/>
  <c r="E508" i="2"/>
  <c r="M23" i="1"/>
  <c r="K23" i="1"/>
  <c r="M18" i="14"/>
  <c r="M17" i="14"/>
  <c r="M16" i="14"/>
  <c r="M15" i="14"/>
  <c r="M12" i="14"/>
  <c r="M21" i="14"/>
  <c r="M20" i="14"/>
  <c r="M24" i="14"/>
  <c r="M23" i="14"/>
  <c r="I27" i="14"/>
  <c r="A1" i="14"/>
  <c r="G27" i="14"/>
  <c r="D27" i="14"/>
  <c r="C27" i="14"/>
  <c r="H25" i="14"/>
  <c r="J25" i="14" s="1"/>
  <c r="F25" i="14"/>
  <c r="B14" i="14"/>
  <c r="M14" i="14" s="1"/>
  <c r="B13" i="14"/>
  <c r="M13" i="14" s="1"/>
  <c r="F10" i="14"/>
  <c r="F27" i="14" s="1"/>
  <c r="Q43" i="13"/>
  <c r="Q45" i="13" s="1"/>
  <c r="L32" i="13"/>
  <c r="O43" i="13"/>
  <c r="O29" i="13"/>
  <c r="O45" i="13" s="1"/>
  <c r="P45" i="13"/>
  <c r="N45" i="13"/>
  <c r="M45" i="13"/>
  <c r="L31" i="13"/>
  <c r="H1" i="1"/>
  <c r="O2" i="7" l="1"/>
  <c r="R134" i="7"/>
  <c r="B35" i="21"/>
  <c r="R12" i="20"/>
  <c r="G22" i="21"/>
  <c r="F22" i="10" s="1"/>
  <c r="Q27" i="21"/>
  <c r="F73" i="10"/>
  <c r="D66" i="21"/>
  <c r="F90" i="11" s="1"/>
  <c r="Q26" i="21"/>
  <c r="F34" i="21"/>
  <c r="E82" i="21"/>
  <c r="F66" i="21"/>
  <c r="Q58" i="21" s="1"/>
  <c r="C48" i="21"/>
  <c r="C50" i="21" s="1"/>
  <c r="F24" i="11" s="1"/>
  <c r="G82" i="21"/>
  <c r="C22" i="21"/>
  <c r="F17" i="10" s="1"/>
  <c r="D50" i="21"/>
  <c r="E22" i="21"/>
  <c r="F19" i="10" s="1"/>
  <c r="D22" i="21"/>
  <c r="F50" i="21"/>
  <c r="C1" i="20"/>
  <c r="R14" i="20"/>
  <c r="E50" i="21"/>
  <c r="F26" i="11" s="1"/>
  <c r="G50" i="21"/>
  <c r="F29" i="11" s="1"/>
  <c r="G66" i="21"/>
  <c r="E66" i="21"/>
  <c r="F22" i="21"/>
  <c r="F20" i="10" s="1"/>
  <c r="Q14" i="21"/>
  <c r="Q15" i="21"/>
  <c r="Q12" i="21"/>
  <c r="D1" i="20"/>
  <c r="D62" i="20"/>
  <c r="M10" i="20"/>
  <c r="M12" i="20" s="1"/>
  <c r="Q14" i="20"/>
  <c r="E1" i="20"/>
  <c r="N10" i="20"/>
  <c r="N12" i="20" s="1"/>
  <c r="N14" i="20" s="1"/>
  <c r="G44" i="20"/>
  <c r="G43" i="20" s="1"/>
  <c r="G55" i="20" s="1"/>
  <c r="F43" i="20"/>
  <c r="F55" i="20" s="1"/>
  <c r="L10" i="14"/>
  <c r="M25" i="14"/>
  <c r="M27" i="14" s="1"/>
  <c r="B27" i="14"/>
  <c r="J27" i="14"/>
  <c r="H27" i="14"/>
  <c r="R43" i="13"/>
  <c r="R45" i="13" s="1"/>
  <c r="L45" i="13"/>
  <c r="Q23" i="13"/>
  <c r="N23" i="13"/>
  <c r="M23" i="13"/>
  <c r="L23" i="13"/>
  <c r="I16" i="13"/>
  <c r="H16" i="13"/>
  <c r="G16" i="13"/>
  <c r="F16" i="13"/>
  <c r="E16" i="13"/>
  <c r="D16" i="13"/>
  <c r="C16" i="13"/>
  <c r="I13" i="13"/>
  <c r="Q7" i="13" s="1"/>
  <c r="H13" i="13"/>
  <c r="P7" i="13" s="1"/>
  <c r="G13" i="13"/>
  <c r="O7" i="13" s="1"/>
  <c r="F13" i="13"/>
  <c r="N7" i="13" s="1"/>
  <c r="E13" i="13"/>
  <c r="M7" i="13" s="1"/>
  <c r="D13" i="13"/>
  <c r="L7" i="13" s="1"/>
  <c r="C13" i="13"/>
  <c r="C51" i="21" l="1"/>
  <c r="C50" i="23"/>
  <c r="E23" i="21"/>
  <c r="G23" i="21"/>
  <c r="G20" i="23"/>
  <c r="D67" i="21"/>
  <c r="D66" i="23"/>
  <c r="G51" i="21"/>
  <c r="G50" i="23"/>
  <c r="C23" i="21"/>
  <c r="C21" i="23"/>
  <c r="F23" i="21"/>
  <c r="F21" i="23"/>
  <c r="E51" i="21"/>
  <c r="C35" i="21"/>
  <c r="C34" i="23"/>
  <c r="Q72" i="21"/>
  <c r="Q56" i="21"/>
  <c r="B50" i="21"/>
  <c r="F23" i="11" s="1"/>
  <c r="Q29" i="21"/>
  <c r="F76" i="10"/>
  <c r="H34" i="21"/>
  <c r="Q10" i="21"/>
  <c r="Q42" i="21"/>
  <c r="F27" i="11"/>
  <c r="Q73" i="21"/>
  <c r="F91" i="11"/>
  <c r="Q11" i="21"/>
  <c r="F18" i="10"/>
  <c r="Q74" i="21"/>
  <c r="F92" i="11"/>
  <c r="Q75" i="21"/>
  <c r="F94" i="11"/>
  <c r="Q40" i="21"/>
  <c r="F25" i="11"/>
  <c r="F142" i="11"/>
  <c r="F140" i="11"/>
  <c r="C80" i="21"/>
  <c r="C82" i="21" s="1"/>
  <c r="B82" i="21"/>
  <c r="F137" i="11" s="1"/>
  <c r="C64" i="21"/>
  <c r="C66" i="21" s="1"/>
  <c r="F89" i="11" s="1"/>
  <c r="B66" i="21"/>
  <c r="F88" i="11" s="1"/>
  <c r="H22" i="21"/>
  <c r="Q39" i="21"/>
  <c r="Q41" i="21"/>
  <c r="Q13" i="21"/>
  <c r="Q57" i="21"/>
  <c r="Q59" i="21"/>
  <c r="Q43" i="21"/>
  <c r="P10" i="20"/>
  <c r="P12" i="20" s="1"/>
  <c r="G1" i="20"/>
  <c r="G62" i="20"/>
  <c r="O10" i="20"/>
  <c r="O12" i="20" s="1"/>
  <c r="F62" i="20"/>
  <c r="F1" i="20"/>
  <c r="M14" i="20"/>
  <c r="I2" i="7"/>
  <c r="G82" i="23" l="1"/>
  <c r="B82" i="23"/>
  <c r="B51" i="21"/>
  <c r="B50" i="23"/>
  <c r="G67" i="21"/>
  <c r="G66" i="23"/>
  <c r="F51" i="21"/>
  <c r="F50" i="23"/>
  <c r="B23" i="21"/>
  <c r="E67" i="21"/>
  <c r="B67" i="21"/>
  <c r="B66" i="23"/>
  <c r="C67" i="21"/>
  <c r="C66" i="23"/>
  <c r="F67" i="21"/>
  <c r="F66" i="23"/>
  <c r="D51" i="21"/>
  <c r="D50" i="23"/>
  <c r="D23" i="21"/>
  <c r="D21" i="23"/>
  <c r="F35" i="21"/>
  <c r="F34" i="23"/>
  <c r="H50" i="21"/>
  <c r="Q38" i="21"/>
  <c r="G83" i="21"/>
  <c r="G84" i="21" s="1"/>
  <c r="R348" i="7"/>
  <c r="E83" i="21"/>
  <c r="E84" i="21" s="1"/>
  <c r="R346" i="7"/>
  <c r="B83" i="21"/>
  <c r="B84" i="21" s="1"/>
  <c r="R343" i="7"/>
  <c r="F1" i="10"/>
  <c r="H66" i="21"/>
  <c r="F138" i="11"/>
  <c r="Q55" i="21"/>
  <c r="Q71" i="21"/>
  <c r="Q70" i="21"/>
  <c r="Q54" i="21"/>
  <c r="H82" i="21"/>
  <c r="O14" i="20"/>
  <c r="P14" i="20"/>
  <c r="H85" i="21" l="1"/>
  <c r="F1" i="11"/>
  <c r="Q4" i="13"/>
  <c r="O4" i="13"/>
  <c r="I59" i="13"/>
  <c r="H59" i="13"/>
  <c r="G59" i="13"/>
  <c r="H47" i="13"/>
  <c r="H54" i="13" s="1"/>
  <c r="P10" i="13" s="1"/>
  <c r="I42" i="13"/>
  <c r="I54" i="13" s="1"/>
  <c r="I37" i="13"/>
  <c r="Q9" i="13" s="1"/>
  <c r="G37" i="13"/>
  <c r="O9" i="13" s="1"/>
  <c r="H32" i="13"/>
  <c r="H37" i="13" s="1"/>
  <c r="I21" i="13"/>
  <c r="H21" i="13"/>
  <c r="G21" i="13"/>
  <c r="Q6" i="13"/>
  <c r="O6" i="13"/>
  <c r="C82" i="23" l="1"/>
  <c r="Q8" i="13"/>
  <c r="I1" i="13"/>
  <c r="H1" i="13"/>
  <c r="O8" i="13"/>
  <c r="O11" i="13"/>
  <c r="H61" i="13"/>
  <c r="Q11" i="13"/>
  <c r="I61" i="13"/>
  <c r="Q10" i="13"/>
  <c r="P62" i="7" l="1"/>
  <c r="N62" i="33" s="1"/>
  <c r="C83" i="21"/>
  <c r="C84" i="21" s="1"/>
  <c r="R344" i="7"/>
  <c r="N2" i="7"/>
  <c r="Q12" i="13"/>
  <c r="Q14" i="13" s="1"/>
  <c r="B19" i="12"/>
  <c r="B17" i="12"/>
  <c r="L360" i="7"/>
  <c r="L359" i="7"/>
  <c r="L358" i="7"/>
  <c r="L357" i="7"/>
  <c r="L356" i="7"/>
  <c r="L340" i="7"/>
  <c r="L339" i="7"/>
  <c r="L338" i="7"/>
  <c r="L337" i="7"/>
  <c r="L336" i="7"/>
  <c r="L335" i="7"/>
  <c r="L334" i="7"/>
  <c r="L333" i="7"/>
  <c r="L315" i="7"/>
  <c r="L310" i="7"/>
  <c r="L282" i="7"/>
  <c r="L281" i="7"/>
  <c r="L280" i="7"/>
  <c r="L279" i="7"/>
  <c r="L278" i="7"/>
  <c r="L277" i="7"/>
  <c r="L276" i="7"/>
  <c r="L275" i="7"/>
  <c r="L274" i="7"/>
  <c r="L273" i="7"/>
  <c r="L272" i="7"/>
  <c r="L271" i="7"/>
  <c r="L270" i="7"/>
  <c r="L269" i="7"/>
  <c r="L268" i="7"/>
  <c r="L267" i="7"/>
  <c r="L266" i="7"/>
  <c r="L265" i="7"/>
  <c r="L264" i="7"/>
  <c r="L263" i="7"/>
  <c r="L262" i="7"/>
  <c r="L261" i="7"/>
  <c r="L260" i="7"/>
  <c r="L236" i="7"/>
  <c r="L231" i="7"/>
  <c r="L207" i="7"/>
  <c r="L194" i="7"/>
  <c r="L193" i="7"/>
  <c r="L192" i="7"/>
  <c r="L191" i="7"/>
  <c r="L190" i="7"/>
  <c r="L189" i="7"/>
  <c r="L188" i="7"/>
  <c r="L187" i="7"/>
  <c r="L186" i="7"/>
  <c r="L185" i="7"/>
  <c r="L184" i="7"/>
  <c r="L183" i="7"/>
  <c r="L182" i="7"/>
  <c r="L181" i="7"/>
  <c r="L180" i="7"/>
  <c r="L179" i="7"/>
  <c r="L178" i="7"/>
  <c r="L177" i="7"/>
  <c r="L176" i="7"/>
  <c r="L175" i="7"/>
  <c r="L174" i="7"/>
  <c r="L173" i="7"/>
  <c r="L172" i="7"/>
  <c r="L171" i="7"/>
  <c r="L170" i="7"/>
  <c r="L169" i="7"/>
  <c r="L168" i="7"/>
  <c r="L167" i="7"/>
  <c r="L166" i="7"/>
  <c r="L165" i="7"/>
  <c r="L164" i="7"/>
  <c r="L163" i="7"/>
  <c r="L162" i="7"/>
  <c r="L161" i="7"/>
  <c r="L160" i="7"/>
  <c r="L159" i="7"/>
  <c r="L158" i="7"/>
  <c r="L157" i="7"/>
  <c r="L156" i="7"/>
  <c r="L155" i="7"/>
  <c r="L128" i="7"/>
  <c r="L127" i="7"/>
  <c r="L126" i="7"/>
  <c r="L125" i="7"/>
  <c r="L124" i="7"/>
  <c r="L123" i="7"/>
  <c r="L122" i="7"/>
  <c r="L121" i="7"/>
  <c r="L120" i="7"/>
  <c r="L119" i="7"/>
  <c r="L118" i="7"/>
  <c r="L117" i="7"/>
  <c r="L114" i="7"/>
  <c r="L104" i="7"/>
  <c r="L103" i="7"/>
  <c r="L93" i="7"/>
  <c r="L89" i="7"/>
  <c r="L74" i="7"/>
  <c r="L61" i="7"/>
  <c r="L51" i="7"/>
  <c r="L50" i="7"/>
  <c r="L49" i="7"/>
  <c r="L48" i="7"/>
  <c r="L47" i="7"/>
  <c r="L46" i="7"/>
  <c r="L45" i="7"/>
  <c r="L44" i="7"/>
  <c r="L43" i="7"/>
  <c r="L42" i="7"/>
  <c r="L41" i="7"/>
  <c r="L40" i="7"/>
  <c r="L39" i="7"/>
  <c r="L38" i="7"/>
  <c r="L37" i="7"/>
  <c r="L36" i="7"/>
  <c r="L35" i="7"/>
  <c r="L34" i="7"/>
  <c r="L33" i="7"/>
  <c r="L32" i="7"/>
  <c r="L31" i="7"/>
  <c r="L30" i="7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L5" i="7"/>
  <c r="L4" i="7"/>
  <c r="J360" i="7"/>
  <c r="J359" i="7"/>
  <c r="J358" i="7"/>
  <c r="R358" i="7" s="1"/>
  <c r="J357" i="7"/>
  <c r="R357" i="7" s="1"/>
  <c r="J356" i="7"/>
  <c r="J340" i="7"/>
  <c r="J339" i="7"/>
  <c r="J338" i="7"/>
  <c r="J337" i="7"/>
  <c r="J336" i="7"/>
  <c r="J335" i="7"/>
  <c r="J334" i="7"/>
  <c r="J333" i="7"/>
  <c r="J315" i="7"/>
  <c r="J310" i="7"/>
  <c r="J282" i="7"/>
  <c r="J281" i="7"/>
  <c r="J280" i="7"/>
  <c r="J279" i="7"/>
  <c r="J278" i="7"/>
  <c r="J277" i="7"/>
  <c r="J276" i="7"/>
  <c r="J275" i="7"/>
  <c r="J274" i="7"/>
  <c r="J273" i="7"/>
  <c r="J272" i="7"/>
  <c r="J271" i="7"/>
  <c r="J270" i="7"/>
  <c r="J269" i="7"/>
  <c r="J268" i="7"/>
  <c r="J267" i="7"/>
  <c r="J266" i="7"/>
  <c r="J265" i="7"/>
  <c r="J264" i="7"/>
  <c r="J263" i="7"/>
  <c r="J262" i="7"/>
  <c r="J261" i="7"/>
  <c r="J260" i="7"/>
  <c r="J236" i="7"/>
  <c r="J231" i="7"/>
  <c r="J207" i="7"/>
  <c r="J194" i="7"/>
  <c r="J193" i="7"/>
  <c r="R193" i="7" s="1"/>
  <c r="J192" i="7"/>
  <c r="R192" i="7" s="1"/>
  <c r="J191" i="7"/>
  <c r="J190" i="7"/>
  <c r="J189" i="7"/>
  <c r="J188" i="7"/>
  <c r="J187" i="7"/>
  <c r="J186" i="7"/>
  <c r="J185" i="7"/>
  <c r="J184" i="7"/>
  <c r="J183" i="7"/>
  <c r="J182" i="7"/>
  <c r="J181" i="7"/>
  <c r="J180" i="7"/>
  <c r="J179" i="7"/>
  <c r="J178" i="7"/>
  <c r="J177" i="7"/>
  <c r="J176" i="7"/>
  <c r="J175" i="7"/>
  <c r="J174" i="7"/>
  <c r="J173" i="7"/>
  <c r="J172" i="7"/>
  <c r="J171" i="7"/>
  <c r="J170" i="7"/>
  <c r="J169" i="7"/>
  <c r="J168" i="7"/>
  <c r="J167" i="7"/>
  <c r="J166" i="7"/>
  <c r="J165" i="7"/>
  <c r="J164" i="7"/>
  <c r="J163" i="7"/>
  <c r="J162" i="7"/>
  <c r="J161" i="7"/>
  <c r="J160" i="7"/>
  <c r="J159" i="7"/>
  <c r="J158" i="7"/>
  <c r="J157" i="7"/>
  <c r="J156" i="7"/>
  <c r="J155" i="7"/>
  <c r="J128" i="7"/>
  <c r="J127" i="7"/>
  <c r="R127" i="7" s="1"/>
  <c r="J126" i="7"/>
  <c r="R126" i="7" s="1"/>
  <c r="J125" i="7"/>
  <c r="J124" i="7"/>
  <c r="J123" i="7"/>
  <c r="J122" i="7"/>
  <c r="J121" i="7"/>
  <c r="J120" i="7"/>
  <c r="J119" i="7"/>
  <c r="J118" i="7"/>
  <c r="J117" i="7"/>
  <c r="J114" i="7"/>
  <c r="J104" i="7"/>
  <c r="J103" i="7"/>
  <c r="J93" i="7"/>
  <c r="J89" i="7"/>
  <c r="J74" i="7"/>
  <c r="J61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P11" i="13"/>
  <c r="F59" i="13"/>
  <c r="E59" i="13"/>
  <c r="D59" i="13"/>
  <c r="C59" i="13"/>
  <c r="C43" i="13"/>
  <c r="E43" i="13" s="1"/>
  <c r="E37" i="13"/>
  <c r="M9" i="13" s="1"/>
  <c r="D37" i="13"/>
  <c r="L9" i="13" s="1"/>
  <c r="C37" i="13"/>
  <c r="F29" i="13"/>
  <c r="F37" i="13" s="1"/>
  <c r="N9" i="13" s="1"/>
  <c r="F21" i="13"/>
  <c r="E21" i="13"/>
  <c r="D21" i="13"/>
  <c r="C21" i="13"/>
  <c r="N6" i="13"/>
  <c r="M6" i="13"/>
  <c r="L6" i="13"/>
  <c r="P9" i="13"/>
  <c r="P6" i="13"/>
  <c r="Q17" i="20" s="1"/>
  <c r="P4" i="13"/>
  <c r="N4" i="13"/>
  <c r="M4" i="13"/>
  <c r="L4" i="13"/>
  <c r="Q22" i="20"/>
  <c r="Q18" i="20"/>
  <c r="J200" i="7"/>
  <c r="P22" i="20"/>
  <c r="P19" i="20"/>
  <c r="P18" i="20"/>
  <c r="P17" i="20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B60" i="12"/>
  <c r="B44" i="12"/>
  <c r="B42" i="12"/>
  <c r="B58" i="12"/>
  <c r="B62" i="12"/>
  <c r="F62" i="12" s="1"/>
  <c r="B46" i="12"/>
  <c r="D46" i="12" s="1"/>
  <c r="B41" i="12"/>
  <c r="R279" i="7" l="1"/>
  <c r="R44" i="7"/>
  <c r="R270" i="7"/>
  <c r="R168" i="7"/>
  <c r="R29" i="7"/>
  <c r="R28" i="7"/>
  <c r="B20" i="23"/>
  <c r="B21" i="23" s="1"/>
  <c r="R8" i="7"/>
  <c r="R24" i="7"/>
  <c r="R48" i="7"/>
  <c r="R122" i="7"/>
  <c r="R172" i="7"/>
  <c r="R188" i="7"/>
  <c r="R231" i="7"/>
  <c r="R274" i="7"/>
  <c r="R338" i="7"/>
  <c r="R278" i="7"/>
  <c r="R176" i="7"/>
  <c r="R177" i="7"/>
  <c r="R32" i="7"/>
  <c r="R13" i="7"/>
  <c r="R61" i="7"/>
  <c r="R74" i="7"/>
  <c r="R156" i="7"/>
  <c r="R271" i="7"/>
  <c r="R169" i="7"/>
  <c r="R45" i="7"/>
  <c r="R9" i="7"/>
  <c r="R25" i="7"/>
  <c r="R33" i="7"/>
  <c r="R49" i="7"/>
  <c r="R123" i="7"/>
  <c r="R157" i="7"/>
  <c r="R173" i="7"/>
  <c r="R189" i="7"/>
  <c r="R236" i="7"/>
  <c r="R275" i="7"/>
  <c r="R339" i="7"/>
  <c r="R11" i="7"/>
  <c r="R26" i="7"/>
  <c r="R34" i="7"/>
  <c r="R50" i="7"/>
  <c r="R124" i="7"/>
  <c r="R158" i="7"/>
  <c r="R174" i="7"/>
  <c r="R190" i="7"/>
  <c r="R260" i="7"/>
  <c r="R276" i="7"/>
  <c r="R340" i="7"/>
  <c r="R27" i="7"/>
  <c r="R43" i="7"/>
  <c r="R51" i="7"/>
  <c r="R125" i="7"/>
  <c r="R167" i="7"/>
  <c r="R175" i="7"/>
  <c r="R191" i="7"/>
  <c r="R269" i="7"/>
  <c r="R277" i="7"/>
  <c r="R356" i="7"/>
  <c r="R30" i="7"/>
  <c r="R89" i="7"/>
  <c r="R128" i="7"/>
  <c r="R170" i="7"/>
  <c r="R178" i="7"/>
  <c r="R194" i="7"/>
  <c r="R272" i="7"/>
  <c r="R280" i="7"/>
  <c r="R359" i="7"/>
  <c r="R46" i="7"/>
  <c r="R14" i="7"/>
  <c r="R6" i="7"/>
  <c r="R10" i="7"/>
  <c r="R4" i="7"/>
  <c r="R12" i="7"/>
  <c r="R5" i="7"/>
  <c r="R7" i="7"/>
  <c r="R23" i="7"/>
  <c r="R31" i="7"/>
  <c r="R47" i="7"/>
  <c r="R121" i="7"/>
  <c r="R155" i="7"/>
  <c r="R171" i="7"/>
  <c r="R187" i="7"/>
  <c r="R207" i="7"/>
  <c r="R273" i="7"/>
  <c r="R337" i="7"/>
  <c r="R360" i="7"/>
  <c r="R15" i="7"/>
  <c r="R281" i="7"/>
  <c r="R16" i="7"/>
  <c r="R36" i="7"/>
  <c r="R103" i="7"/>
  <c r="R160" i="7"/>
  <c r="R180" i="7"/>
  <c r="R262" i="7"/>
  <c r="R282" i="7"/>
  <c r="R181" i="7"/>
  <c r="R263" i="7"/>
  <c r="R310" i="7"/>
  <c r="R93" i="7"/>
  <c r="R17" i="7"/>
  <c r="R18" i="7"/>
  <c r="R38" i="7"/>
  <c r="R114" i="7"/>
  <c r="R162" i="7"/>
  <c r="R182" i="7"/>
  <c r="R264" i="7"/>
  <c r="R315" i="7"/>
  <c r="R261" i="7"/>
  <c r="R104" i="7"/>
  <c r="R39" i="7"/>
  <c r="R183" i="7"/>
  <c r="R265" i="7"/>
  <c r="R333" i="7"/>
  <c r="R35" i="7"/>
  <c r="R161" i="7"/>
  <c r="R19" i="7"/>
  <c r="R117" i="7"/>
  <c r="R20" i="7"/>
  <c r="R40" i="7"/>
  <c r="R118" i="7"/>
  <c r="R164" i="7"/>
  <c r="R184" i="7"/>
  <c r="R266" i="7"/>
  <c r="R334" i="7"/>
  <c r="R159" i="7"/>
  <c r="R37" i="7"/>
  <c r="R163" i="7"/>
  <c r="R21" i="7"/>
  <c r="R41" i="7"/>
  <c r="R119" i="7"/>
  <c r="R165" i="7"/>
  <c r="R185" i="7"/>
  <c r="R267" i="7"/>
  <c r="R335" i="7"/>
  <c r="R179" i="7"/>
  <c r="R22" i="7"/>
  <c r="R42" i="7"/>
  <c r="R120" i="7"/>
  <c r="R166" i="7"/>
  <c r="R186" i="7"/>
  <c r="R268" i="7"/>
  <c r="R336" i="7"/>
  <c r="P20" i="20"/>
  <c r="J257" i="7"/>
  <c r="Q20" i="20"/>
  <c r="L257" i="7"/>
  <c r="M232" i="1"/>
  <c r="M11" i="1"/>
  <c r="M90" i="1"/>
  <c r="M98" i="1"/>
  <c r="M165" i="1"/>
  <c r="M147" i="1"/>
  <c r="M155" i="1"/>
  <c r="M83" i="1"/>
  <c r="M188" i="1"/>
  <c r="M197" i="1"/>
  <c r="M213" i="1"/>
  <c r="M37" i="1"/>
  <c r="M45" i="1"/>
  <c r="M53" i="1"/>
  <c r="M81" i="1"/>
  <c r="M84" i="1"/>
  <c r="M28" i="1"/>
  <c r="M80" i="1"/>
  <c r="M77" i="1"/>
  <c r="M85" i="1"/>
  <c r="M86" i="1"/>
  <c r="M184" i="1"/>
  <c r="M193" i="1"/>
  <c r="M201" i="1"/>
  <c r="M209" i="1"/>
  <c r="M218" i="1"/>
  <c r="M93" i="1"/>
  <c r="M101" i="1"/>
  <c r="M220" i="1"/>
  <c r="M191" i="1"/>
  <c r="M199" i="1"/>
  <c r="M207" i="1"/>
  <c r="M215" i="1"/>
  <c r="M12" i="1"/>
  <c r="M91" i="1"/>
  <c r="M99" i="1"/>
  <c r="M166" i="1"/>
  <c r="M120" i="1"/>
  <c r="M130" i="1"/>
  <c r="M138" i="1"/>
  <c r="M146" i="1"/>
  <c r="M154" i="1"/>
  <c r="L150" i="7"/>
  <c r="L326" i="7"/>
  <c r="L99" i="7"/>
  <c r="L233" i="7"/>
  <c r="L300" i="7"/>
  <c r="L129" i="7"/>
  <c r="L110" i="7"/>
  <c r="L234" i="7"/>
  <c r="L200" i="7"/>
  <c r="R200" i="7" s="1"/>
  <c r="L92" i="7"/>
  <c r="L216" i="7"/>
  <c r="L243" i="7"/>
  <c r="L302" i="7"/>
  <c r="L55" i="7"/>
  <c r="L102" i="7"/>
  <c r="L227" i="7"/>
  <c r="L303" i="7"/>
  <c r="L202" i="7"/>
  <c r="L109" i="7"/>
  <c r="L241" i="7"/>
  <c r="L319" i="7"/>
  <c r="L208" i="7"/>
  <c r="L91" i="7"/>
  <c r="L214" i="7"/>
  <c r="L256" i="7"/>
  <c r="L130" i="7"/>
  <c r="L83" i="7"/>
  <c r="L144" i="7"/>
  <c r="L235" i="7"/>
  <c r="L327" i="7"/>
  <c r="L131" i="7"/>
  <c r="L94" i="7"/>
  <c r="L154" i="7"/>
  <c r="L132" i="7"/>
  <c r="L285" i="7"/>
  <c r="M129" i="1"/>
  <c r="M137" i="1"/>
  <c r="M145" i="1"/>
  <c r="M153" i="1"/>
  <c r="L76" i="7"/>
  <c r="L85" i="7"/>
  <c r="L95" i="7"/>
  <c r="L105" i="7"/>
  <c r="L146" i="7"/>
  <c r="L219" i="7"/>
  <c r="L228" i="7"/>
  <c r="L238" i="7"/>
  <c r="L244" i="7"/>
  <c r="L251" i="7"/>
  <c r="L259" i="7"/>
  <c r="L295" i="7"/>
  <c r="L305" i="7"/>
  <c r="L314" i="7"/>
  <c r="L322" i="7"/>
  <c r="L354" i="7"/>
  <c r="L57" i="7"/>
  <c r="L195" i="7"/>
  <c r="L203" i="7"/>
  <c r="L286" i="7"/>
  <c r="L80" i="7"/>
  <c r="L255" i="7"/>
  <c r="L349" i="7"/>
  <c r="L72" i="7"/>
  <c r="L142" i="7"/>
  <c r="L242" i="7"/>
  <c r="L311" i="7"/>
  <c r="L351" i="7"/>
  <c r="L73" i="7"/>
  <c r="L101" i="7"/>
  <c r="L153" i="7"/>
  <c r="L226" i="7"/>
  <c r="L249" i="7"/>
  <c r="L312" i="7"/>
  <c r="L284" i="7"/>
  <c r="L75" i="7"/>
  <c r="L145" i="7"/>
  <c r="L313" i="7"/>
  <c r="L56" i="7"/>
  <c r="L86" i="7"/>
  <c r="L113" i="7"/>
  <c r="L220" i="7"/>
  <c r="L90" i="7"/>
  <c r="L223" i="7"/>
  <c r="L53" i="7"/>
  <c r="L100" i="7"/>
  <c r="L224" i="7"/>
  <c r="L248" i="7"/>
  <c r="L320" i="7"/>
  <c r="L54" i="7"/>
  <c r="L283" i="7"/>
  <c r="L352" i="7"/>
  <c r="L237" i="7"/>
  <c r="L293" i="7"/>
  <c r="L353" i="7"/>
  <c r="L67" i="7"/>
  <c r="L96" i="7"/>
  <c r="L147" i="7"/>
  <c r="L229" i="7"/>
  <c r="L245" i="7"/>
  <c r="L297" i="7"/>
  <c r="L316" i="7"/>
  <c r="L323" i="7"/>
  <c r="L329" i="7"/>
  <c r="L58" i="7"/>
  <c r="L204" i="7"/>
  <c r="L69" i="7"/>
  <c r="L78" i="7"/>
  <c r="L87" i="7"/>
  <c r="L97" i="7"/>
  <c r="L107" i="7"/>
  <c r="L115" i="7"/>
  <c r="L148" i="7"/>
  <c r="L221" i="7"/>
  <c r="L230" i="7"/>
  <c r="L240" i="7"/>
  <c r="L246" i="7"/>
  <c r="L253" i="7"/>
  <c r="L298" i="7"/>
  <c r="L307" i="7"/>
  <c r="L317" i="7"/>
  <c r="L324" i="7"/>
  <c r="L330" i="7"/>
  <c r="L59" i="7"/>
  <c r="L197" i="7"/>
  <c r="L205" i="7"/>
  <c r="L341" i="7"/>
  <c r="L71" i="7"/>
  <c r="L137" i="7"/>
  <c r="L309" i="7"/>
  <c r="L199" i="7"/>
  <c r="L81" i="7"/>
  <c r="L151" i="7"/>
  <c r="L301" i="7"/>
  <c r="L321" i="7"/>
  <c r="L201" i="7"/>
  <c r="L84" i="7"/>
  <c r="L218" i="7"/>
  <c r="L328" i="7"/>
  <c r="L77" i="7"/>
  <c r="L106" i="7"/>
  <c r="L239" i="7"/>
  <c r="L252" i="7"/>
  <c r="L306" i="7"/>
  <c r="L196" i="7"/>
  <c r="L287" i="7"/>
  <c r="M178" i="1"/>
  <c r="M230" i="1"/>
  <c r="M9" i="1"/>
  <c r="M67" i="1"/>
  <c r="M96" i="1"/>
  <c r="M163" i="1"/>
  <c r="L70" i="7"/>
  <c r="L79" i="7"/>
  <c r="L88" i="7"/>
  <c r="L98" i="7"/>
  <c r="L108" i="7"/>
  <c r="L116" i="7"/>
  <c r="L149" i="7"/>
  <c r="L222" i="7"/>
  <c r="L232" i="7"/>
  <c r="L250" i="7"/>
  <c r="L247" i="7"/>
  <c r="L254" i="7"/>
  <c r="L299" i="7"/>
  <c r="L308" i="7"/>
  <c r="L318" i="7"/>
  <c r="L325" i="7"/>
  <c r="L332" i="7"/>
  <c r="L52" i="7"/>
  <c r="L60" i="7"/>
  <c r="L198" i="7"/>
  <c r="L206" i="7"/>
  <c r="L342" i="7"/>
  <c r="M117" i="1"/>
  <c r="M126" i="1"/>
  <c r="M135" i="1"/>
  <c r="M182" i="1"/>
  <c r="M118" i="1"/>
  <c r="M128" i="1"/>
  <c r="M136" i="1"/>
  <c r="M144" i="1"/>
  <c r="M152" i="1"/>
  <c r="M161" i="1"/>
  <c r="M89" i="1"/>
  <c r="M6" i="1"/>
  <c r="M14" i="1"/>
  <c r="M25" i="1"/>
  <c r="M33" i="1"/>
  <c r="M42" i="1"/>
  <c r="M50" i="1"/>
  <c r="M58" i="1"/>
  <c r="M22" i="1"/>
  <c r="M30" i="1"/>
  <c r="M39" i="1"/>
  <c r="M47" i="1"/>
  <c r="M55" i="1"/>
  <c r="M63" i="1"/>
  <c r="M88" i="1"/>
  <c r="M183" i="1"/>
  <c r="M192" i="1"/>
  <c r="M200" i="1"/>
  <c r="M208" i="1"/>
  <c r="M216" i="1"/>
  <c r="M13" i="1"/>
  <c r="M92" i="1"/>
  <c r="M100" i="1"/>
  <c r="M219" i="1"/>
  <c r="M31" i="1"/>
  <c r="M40" i="1"/>
  <c r="M48" i="1"/>
  <c r="M56" i="1"/>
  <c r="M64" i="1"/>
  <c r="M119" i="1"/>
  <c r="M121" i="1"/>
  <c r="M131" i="1"/>
  <c r="M139" i="1"/>
  <c r="M24" i="1"/>
  <c r="M32" i="1"/>
  <c r="M41" i="1"/>
  <c r="M49" i="1"/>
  <c r="M57" i="1"/>
  <c r="M185" i="1"/>
  <c r="M194" i="1"/>
  <c r="M202" i="1"/>
  <c r="M210" i="1"/>
  <c r="M72" i="1"/>
  <c r="M122" i="1"/>
  <c r="M132" i="1"/>
  <c r="M140" i="1"/>
  <c r="M156" i="1"/>
  <c r="L111" i="7"/>
  <c r="P17" i="13"/>
  <c r="L258" i="7"/>
  <c r="P20" i="13"/>
  <c r="M82" i="1"/>
  <c r="K103" i="1"/>
  <c r="M103" i="1"/>
  <c r="K168" i="1"/>
  <c r="M168" i="1"/>
  <c r="K211" i="1"/>
  <c r="M211" i="1"/>
  <c r="M65" i="1"/>
  <c r="M102" i="1"/>
  <c r="M26" i="1"/>
  <c r="O17" i="13"/>
  <c r="M59" i="1"/>
  <c r="K105" i="1"/>
  <c r="M105" i="1"/>
  <c r="K148" i="1"/>
  <c r="M148" i="1"/>
  <c r="K170" i="1"/>
  <c r="M170" i="1"/>
  <c r="M187" i="1"/>
  <c r="M196" i="1"/>
  <c r="M204" i="1"/>
  <c r="M212" i="1"/>
  <c r="M229" i="1"/>
  <c r="M8" i="1"/>
  <c r="M66" i="1"/>
  <c r="K95" i="1"/>
  <c r="M95" i="1"/>
  <c r="K167" i="1"/>
  <c r="M167" i="1"/>
  <c r="K104" i="1"/>
  <c r="M104" i="1"/>
  <c r="K169" i="1"/>
  <c r="M169" i="1"/>
  <c r="M203" i="1"/>
  <c r="M7" i="1"/>
  <c r="M35" i="1"/>
  <c r="M27" i="1"/>
  <c r="M36" i="1"/>
  <c r="M44" i="1"/>
  <c r="M52" i="1"/>
  <c r="O18" i="13"/>
  <c r="M60" i="1"/>
  <c r="K106" i="1"/>
  <c r="M106" i="1"/>
  <c r="M123" i="1"/>
  <c r="M133" i="1"/>
  <c r="M141" i="1"/>
  <c r="M149" i="1"/>
  <c r="M157" i="1"/>
  <c r="K171" i="1"/>
  <c r="M171" i="1"/>
  <c r="K205" i="1"/>
  <c r="M205" i="1"/>
  <c r="L355" i="7"/>
  <c r="P22" i="13"/>
  <c r="M195" i="1"/>
  <c r="M94" i="1"/>
  <c r="M43" i="1"/>
  <c r="M113" i="1"/>
  <c r="M20" i="1"/>
  <c r="K61" i="1"/>
  <c r="M61" i="1"/>
  <c r="K107" i="1"/>
  <c r="M107" i="1"/>
  <c r="M115" i="1"/>
  <c r="M125" i="1"/>
  <c r="M134" i="1"/>
  <c r="M142" i="1"/>
  <c r="M150" i="1"/>
  <c r="O20" i="13"/>
  <c r="M158" i="1"/>
  <c r="K172" i="1"/>
  <c r="M172" i="1"/>
  <c r="M180" i="1"/>
  <c r="M190" i="1"/>
  <c r="M198" i="1"/>
  <c r="M206" i="1"/>
  <c r="K214" i="1"/>
  <c r="M214" i="1"/>
  <c r="M231" i="1"/>
  <c r="M10" i="1"/>
  <c r="M68" i="1"/>
  <c r="M97" i="1"/>
  <c r="M164" i="1"/>
  <c r="M233" i="1"/>
  <c r="O22" i="13"/>
  <c r="K234" i="1"/>
  <c r="M234" i="1"/>
  <c r="L112" i="7"/>
  <c r="P18" i="13"/>
  <c r="M186" i="1"/>
  <c r="M227" i="1"/>
  <c r="M51" i="1"/>
  <c r="M29" i="1"/>
  <c r="M38" i="1"/>
  <c r="M46" i="1"/>
  <c r="M54" i="1"/>
  <c r="M62" i="1"/>
  <c r="M79" i="1"/>
  <c r="O19" i="13"/>
  <c r="K143" i="1"/>
  <c r="M143" i="1"/>
  <c r="K151" i="1"/>
  <c r="M151" i="1"/>
  <c r="K160" i="1"/>
  <c r="M160" i="1"/>
  <c r="M8" i="13"/>
  <c r="N8" i="13"/>
  <c r="L8" i="13"/>
  <c r="M11" i="13"/>
  <c r="J111" i="7"/>
  <c r="K59" i="1"/>
  <c r="J241" i="7"/>
  <c r="K140" i="1"/>
  <c r="J321" i="7"/>
  <c r="K204" i="1"/>
  <c r="J68" i="7"/>
  <c r="K21" i="1"/>
  <c r="J87" i="7"/>
  <c r="K39" i="1"/>
  <c r="J115" i="7"/>
  <c r="K63" i="1"/>
  <c r="J219" i="7"/>
  <c r="K118" i="1"/>
  <c r="J79" i="7"/>
  <c r="K31" i="1"/>
  <c r="J98" i="7"/>
  <c r="K48" i="1"/>
  <c r="J116" i="7"/>
  <c r="K64" i="1"/>
  <c r="J146" i="7"/>
  <c r="K81" i="1"/>
  <c r="J154" i="7"/>
  <c r="K89" i="1"/>
  <c r="J211" i="7"/>
  <c r="K110" i="1"/>
  <c r="J220" i="7"/>
  <c r="K119" i="1"/>
  <c r="J229" i="7"/>
  <c r="K129" i="1"/>
  <c r="J239" i="7"/>
  <c r="K137" i="1"/>
  <c r="J245" i="7"/>
  <c r="K145" i="1"/>
  <c r="J252" i="7"/>
  <c r="K153" i="1"/>
  <c r="J290" i="7"/>
  <c r="K175" i="1"/>
  <c r="J299" i="7"/>
  <c r="K184" i="1"/>
  <c r="J308" i="7"/>
  <c r="K193" i="1"/>
  <c r="J318" i="7"/>
  <c r="K201" i="1"/>
  <c r="J325" i="7"/>
  <c r="K209" i="1"/>
  <c r="J59" i="7"/>
  <c r="K13" i="1"/>
  <c r="J197" i="7"/>
  <c r="K92" i="1"/>
  <c r="J205" i="7"/>
  <c r="K100" i="1"/>
  <c r="J341" i="7"/>
  <c r="K219" i="1"/>
  <c r="J293" i="7"/>
  <c r="K178" i="1"/>
  <c r="J84" i="7"/>
  <c r="K36" i="1"/>
  <c r="J78" i="7"/>
  <c r="K30" i="1"/>
  <c r="J107" i="7"/>
  <c r="K55" i="1"/>
  <c r="J210" i="7"/>
  <c r="K109" i="1"/>
  <c r="J70" i="7"/>
  <c r="J88" i="7"/>
  <c r="K40" i="1"/>
  <c r="J108" i="7"/>
  <c r="K56" i="1"/>
  <c r="J63" i="7"/>
  <c r="K16" i="1"/>
  <c r="J71" i="7"/>
  <c r="K24" i="1"/>
  <c r="J80" i="7"/>
  <c r="K32" i="1"/>
  <c r="J90" i="7"/>
  <c r="K41" i="1"/>
  <c r="J99" i="7"/>
  <c r="K49" i="1"/>
  <c r="J109" i="7"/>
  <c r="K57" i="1"/>
  <c r="J135" i="7"/>
  <c r="K70" i="1"/>
  <c r="J147" i="7"/>
  <c r="K82" i="1"/>
  <c r="J212" i="7"/>
  <c r="K111" i="1"/>
  <c r="J221" i="7"/>
  <c r="K120" i="1"/>
  <c r="J230" i="7"/>
  <c r="K130" i="1"/>
  <c r="J240" i="7"/>
  <c r="K138" i="1"/>
  <c r="J246" i="7"/>
  <c r="K146" i="1"/>
  <c r="J253" i="7"/>
  <c r="K154" i="1"/>
  <c r="J291" i="7"/>
  <c r="K176" i="1"/>
  <c r="J300" i="7"/>
  <c r="K185" i="1"/>
  <c r="J309" i="7"/>
  <c r="K194" i="1"/>
  <c r="J319" i="7"/>
  <c r="K202" i="1"/>
  <c r="J326" i="7"/>
  <c r="K210" i="1"/>
  <c r="J332" i="7"/>
  <c r="K218" i="1"/>
  <c r="J52" i="7"/>
  <c r="K6" i="1"/>
  <c r="J60" i="7"/>
  <c r="K14" i="1"/>
  <c r="J198" i="7"/>
  <c r="K93" i="1"/>
  <c r="J206" i="7"/>
  <c r="K101" i="1"/>
  <c r="J342" i="7"/>
  <c r="K220" i="1"/>
  <c r="J64" i="7"/>
  <c r="K17" i="1"/>
  <c r="J72" i="7"/>
  <c r="K25" i="1"/>
  <c r="J81" i="7"/>
  <c r="K33" i="1"/>
  <c r="J91" i="7"/>
  <c r="K42" i="1"/>
  <c r="J100" i="7"/>
  <c r="K50" i="1"/>
  <c r="J110" i="7"/>
  <c r="K58" i="1"/>
  <c r="J136" i="7"/>
  <c r="K71" i="1"/>
  <c r="J148" i="7"/>
  <c r="K83" i="1"/>
  <c r="J213" i="7"/>
  <c r="K112" i="1"/>
  <c r="J222" i="7"/>
  <c r="K121" i="1"/>
  <c r="J232" i="7"/>
  <c r="K131" i="1"/>
  <c r="J250" i="7"/>
  <c r="K139" i="1"/>
  <c r="J247" i="7"/>
  <c r="K147" i="1"/>
  <c r="J254" i="7"/>
  <c r="K155" i="1"/>
  <c r="J292" i="7"/>
  <c r="K177" i="1"/>
  <c r="J301" i="7"/>
  <c r="K186" i="1"/>
  <c r="J311" i="7"/>
  <c r="K195" i="1"/>
  <c r="J320" i="7"/>
  <c r="K203" i="1"/>
  <c r="J349" i="7"/>
  <c r="K227" i="1"/>
  <c r="J53" i="7"/>
  <c r="K7" i="1"/>
  <c r="J129" i="7"/>
  <c r="K65" i="1"/>
  <c r="J199" i="7"/>
  <c r="K94" i="1"/>
  <c r="J208" i="7"/>
  <c r="K102" i="1"/>
  <c r="J83" i="7"/>
  <c r="K35" i="1"/>
  <c r="J223" i="7"/>
  <c r="K122" i="1"/>
  <c r="J255" i="7"/>
  <c r="K156" i="1"/>
  <c r="J327" i="7"/>
  <c r="K212" i="1"/>
  <c r="J351" i="7"/>
  <c r="K229" i="1"/>
  <c r="J54" i="7"/>
  <c r="K8" i="1"/>
  <c r="J130" i="7"/>
  <c r="K66" i="1"/>
  <c r="J283" i="7"/>
  <c r="K162" i="1"/>
  <c r="J73" i="7"/>
  <c r="K26" i="1"/>
  <c r="J214" i="7"/>
  <c r="K113" i="1"/>
  <c r="J302" i="7"/>
  <c r="K187" i="1"/>
  <c r="J66" i="7"/>
  <c r="K19" i="1"/>
  <c r="J112" i="7"/>
  <c r="K60" i="1"/>
  <c r="J150" i="7"/>
  <c r="K85" i="1"/>
  <c r="J215" i="7"/>
  <c r="K114" i="1"/>
  <c r="J234" i="7"/>
  <c r="K133" i="1"/>
  <c r="J242" i="7"/>
  <c r="K141" i="1"/>
  <c r="J256" i="7"/>
  <c r="K157" i="1"/>
  <c r="J294" i="7"/>
  <c r="K179" i="1"/>
  <c r="J303" i="7"/>
  <c r="K188" i="1"/>
  <c r="J313" i="7"/>
  <c r="K197" i="1"/>
  <c r="J328" i="7"/>
  <c r="K213" i="1"/>
  <c r="J352" i="7"/>
  <c r="K230" i="1"/>
  <c r="J55" i="7"/>
  <c r="K9" i="1"/>
  <c r="J131" i="7"/>
  <c r="K67" i="1"/>
  <c r="J201" i="7"/>
  <c r="K96" i="1"/>
  <c r="J284" i="7"/>
  <c r="K163" i="1"/>
  <c r="J62" i="7"/>
  <c r="K15" i="1"/>
  <c r="J92" i="7"/>
  <c r="K43" i="1"/>
  <c r="J233" i="7"/>
  <c r="K132" i="1"/>
  <c r="J312" i="7"/>
  <c r="K196" i="1"/>
  <c r="J102" i="7"/>
  <c r="K52" i="1"/>
  <c r="J139" i="7"/>
  <c r="K74" i="1"/>
  <c r="J224" i="7"/>
  <c r="K123" i="1"/>
  <c r="J248" i="7"/>
  <c r="K149" i="1"/>
  <c r="J67" i="7"/>
  <c r="K20" i="1"/>
  <c r="J76" i="7"/>
  <c r="K28" i="1"/>
  <c r="J85" i="7"/>
  <c r="K37" i="1"/>
  <c r="J95" i="7"/>
  <c r="K45" i="1"/>
  <c r="J105" i="7"/>
  <c r="K53" i="1"/>
  <c r="J142" i="7"/>
  <c r="K77" i="1"/>
  <c r="J151" i="7"/>
  <c r="K86" i="1"/>
  <c r="J216" i="7"/>
  <c r="K115" i="1"/>
  <c r="J226" i="7"/>
  <c r="K125" i="1"/>
  <c r="J235" i="7"/>
  <c r="K134" i="1"/>
  <c r="J243" i="7"/>
  <c r="K142" i="1"/>
  <c r="J249" i="7"/>
  <c r="K150" i="1"/>
  <c r="J258" i="7"/>
  <c r="K158" i="1"/>
  <c r="J295" i="7"/>
  <c r="K180" i="1"/>
  <c r="J305" i="7"/>
  <c r="K190" i="1"/>
  <c r="J314" i="7"/>
  <c r="K198" i="1"/>
  <c r="J322" i="7"/>
  <c r="K206" i="1"/>
  <c r="J353" i="7"/>
  <c r="K231" i="1"/>
  <c r="J56" i="7"/>
  <c r="K10" i="1"/>
  <c r="J132" i="7"/>
  <c r="K68" i="1"/>
  <c r="J202" i="7"/>
  <c r="K97" i="1"/>
  <c r="J285" i="7"/>
  <c r="K164" i="1"/>
  <c r="J101" i="7"/>
  <c r="K51" i="1"/>
  <c r="J149" i="7"/>
  <c r="K84" i="1"/>
  <c r="J75" i="7"/>
  <c r="K27" i="1"/>
  <c r="J77" i="7"/>
  <c r="K29" i="1"/>
  <c r="J86" i="7"/>
  <c r="K38" i="1"/>
  <c r="J96" i="7"/>
  <c r="K46" i="1"/>
  <c r="J106" i="7"/>
  <c r="K54" i="1"/>
  <c r="J113" i="7"/>
  <c r="K62" i="1"/>
  <c r="J144" i="7"/>
  <c r="K79" i="1"/>
  <c r="J152" i="7"/>
  <c r="K87" i="1"/>
  <c r="J209" i="7"/>
  <c r="K108" i="1"/>
  <c r="J218" i="7"/>
  <c r="K117" i="1"/>
  <c r="J227" i="7"/>
  <c r="K126" i="1"/>
  <c r="J237" i="7"/>
  <c r="K135" i="1"/>
  <c r="J288" i="7"/>
  <c r="K173" i="1"/>
  <c r="J297" i="7"/>
  <c r="K182" i="1"/>
  <c r="J306" i="7"/>
  <c r="K191" i="1"/>
  <c r="J316" i="7"/>
  <c r="K199" i="1"/>
  <c r="J323" i="7"/>
  <c r="K207" i="1"/>
  <c r="J329" i="7"/>
  <c r="K215" i="1"/>
  <c r="J354" i="7"/>
  <c r="K232" i="1"/>
  <c r="J57" i="7"/>
  <c r="K11" i="1"/>
  <c r="J195" i="7"/>
  <c r="K90" i="1"/>
  <c r="J203" i="7"/>
  <c r="K98" i="1"/>
  <c r="J286" i="7"/>
  <c r="K165" i="1"/>
  <c r="J65" i="7"/>
  <c r="K18" i="1"/>
  <c r="J137" i="7"/>
  <c r="K72" i="1"/>
  <c r="J94" i="7"/>
  <c r="K44" i="1"/>
  <c r="J69" i="7"/>
  <c r="K22" i="1"/>
  <c r="J97" i="7"/>
  <c r="K47" i="1"/>
  <c r="J145" i="7"/>
  <c r="K80" i="1"/>
  <c r="J153" i="7"/>
  <c r="K88" i="1"/>
  <c r="J228" i="7"/>
  <c r="K128" i="1"/>
  <c r="J238" i="7"/>
  <c r="K136" i="1"/>
  <c r="J244" i="7"/>
  <c r="K144" i="1"/>
  <c r="J251" i="7"/>
  <c r="K152" i="1"/>
  <c r="J259" i="7"/>
  <c r="K161" i="1"/>
  <c r="J289" i="7"/>
  <c r="K174" i="1"/>
  <c r="J298" i="7"/>
  <c r="K183" i="1"/>
  <c r="J307" i="7"/>
  <c r="K192" i="1"/>
  <c r="J317" i="7"/>
  <c r="K200" i="1"/>
  <c r="J324" i="7"/>
  <c r="K208" i="1"/>
  <c r="J330" i="7"/>
  <c r="K216" i="1"/>
  <c r="J355" i="7"/>
  <c r="K233" i="1"/>
  <c r="J58" i="7"/>
  <c r="K12" i="1"/>
  <c r="J196" i="7"/>
  <c r="K91" i="1"/>
  <c r="J204" i="7"/>
  <c r="K99" i="1"/>
  <c r="J287" i="7"/>
  <c r="K166" i="1"/>
  <c r="D62" i="12"/>
  <c r="E42" i="13"/>
  <c r="E54" i="13" s="1"/>
  <c r="E61" i="13" s="1"/>
  <c r="F43" i="13"/>
  <c r="C42" i="13"/>
  <c r="C54" i="13" s="1"/>
  <c r="C61" i="13" s="1"/>
  <c r="P8" i="13"/>
  <c r="Q19" i="20" s="1"/>
  <c r="Q21" i="20"/>
  <c r="L11" i="13"/>
  <c r="N11" i="13"/>
  <c r="D43" i="13"/>
  <c r="D42" i="13" s="1"/>
  <c r="D54" i="13" s="1"/>
  <c r="L10" i="13" s="1"/>
  <c r="C62" i="12"/>
  <c r="F46" i="12"/>
  <c r="C46" i="12"/>
  <c r="R353" i="7" l="1"/>
  <c r="R232" i="7"/>
  <c r="R137" i="7"/>
  <c r="R349" i="7"/>
  <c r="R208" i="7"/>
  <c r="R259" i="7"/>
  <c r="R109" i="7"/>
  <c r="R99" i="7"/>
  <c r="R332" i="7"/>
  <c r="R87" i="7"/>
  <c r="R355" i="7"/>
  <c r="R251" i="7"/>
  <c r="R250" i="7"/>
  <c r="R202" i="7"/>
  <c r="R203" i="7"/>
  <c r="R116" i="7"/>
  <c r="R84" i="7"/>
  <c r="R96" i="7"/>
  <c r="R342" i="7"/>
  <c r="R201" i="7"/>
  <c r="R132" i="7"/>
  <c r="R246" i="7"/>
  <c r="R154" i="7"/>
  <c r="R258" i="7"/>
  <c r="R285" i="7"/>
  <c r="R94" i="7"/>
  <c r="R131" i="7"/>
  <c r="Q23" i="20"/>
  <c r="Q24" i="20" s="1"/>
  <c r="E36" i="21"/>
  <c r="E35" i="12"/>
  <c r="D35" i="12"/>
  <c r="D36" i="21"/>
  <c r="M87" i="1"/>
  <c r="L331" i="7"/>
  <c r="P21" i="13"/>
  <c r="L152" i="7"/>
  <c r="P19" i="13"/>
  <c r="D1" i="13"/>
  <c r="C1" i="13"/>
  <c r="E1" i="13"/>
  <c r="D61" i="13"/>
  <c r="F42" i="13"/>
  <c r="F54" i="13" s="1"/>
  <c r="F1" i="13" s="1"/>
  <c r="G43" i="13"/>
  <c r="G42" i="13" s="1"/>
  <c r="G54" i="13" s="1"/>
  <c r="G1" i="13" s="1"/>
  <c r="L12" i="13"/>
  <c r="P12" i="13"/>
  <c r="M10" i="13"/>
  <c r="M12" i="13" s="1"/>
  <c r="B13" i="12"/>
  <c r="D13" i="12" s="1"/>
  <c r="B32" i="12"/>
  <c r="C32" i="12" s="1"/>
  <c r="B31" i="12"/>
  <c r="B12" i="12"/>
  <c r="F12" i="12" s="1"/>
  <c r="B28" i="12"/>
  <c r="B20" i="12"/>
  <c r="B16" i="12"/>
  <c r="C16" i="12" s="1"/>
  <c r="D19" i="12"/>
  <c r="B15" i="12"/>
  <c r="C65" i="12"/>
  <c r="B64" i="12"/>
  <c r="C64" i="12" s="1"/>
  <c r="L60" i="12"/>
  <c r="M60" i="12" s="1"/>
  <c r="F60" i="12"/>
  <c r="A60" i="12"/>
  <c r="L59" i="12"/>
  <c r="M59" i="12" s="1"/>
  <c r="B59" i="12"/>
  <c r="A59" i="12"/>
  <c r="L58" i="12"/>
  <c r="M58" i="12" s="1"/>
  <c r="F58" i="12"/>
  <c r="L57" i="12"/>
  <c r="M57" i="12" s="1"/>
  <c r="B57" i="12"/>
  <c r="F57" i="12" s="1"/>
  <c r="B56" i="12"/>
  <c r="C49" i="12"/>
  <c r="L44" i="12"/>
  <c r="M44" i="12" s="1"/>
  <c r="C44" i="12"/>
  <c r="A44" i="12"/>
  <c r="L43" i="12"/>
  <c r="M43" i="12" s="1"/>
  <c r="B43" i="12"/>
  <c r="A43" i="12"/>
  <c r="L42" i="12"/>
  <c r="M42" i="12" s="1"/>
  <c r="L41" i="12"/>
  <c r="M41" i="12" s="1"/>
  <c r="F41" i="12"/>
  <c r="B40" i="12"/>
  <c r="E34" i="12"/>
  <c r="D34" i="12"/>
  <c r="Q28" i="12" s="1"/>
  <c r="C33" i="12"/>
  <c r="B30" i="12"/>
  <c r="F30" i="12" s="1"/>
  <c r="B29" i="12"/>
  <c r="F29" i="12" s="1"/>
  <c r="J63" i="12"/>
  <c r="J45" i="12"/>
  <c r="B45" i="12" s="1"/>
  <c r="C17" i="12"/>
  <c r="B14" i="12"/>
  <c r="F14" i="12" s="1"/>
  <c r="C7" i="12"/>
  <c r="C5" i="12"/>
  <c r="C4" i="12"/>
  <c r="P23" i="13" l="1"/>
  <c r="P24" i="13" s="1"/>
  <c r="P14" i="13"/>
  <c r="L14" i="13"/>
  <c r="O10" i="13"/>
  <c r="G61" i="13"/>
  <c r="N10" i="13"/>
  <c r="N12" i="13" s="1"/>
  <c r="F61" i="13"/>
  <c r="E46" i="12" a="1"/>
  <c r="E59" i="12" a="1"/>
  <c r="E43" i="12" a="1"/>
  <c r="E62" i="12" a="1"/>
  <c r="G43" i="12"/>
  <c r="G56" i="12"/>
  <c r="G62" i="12"/>
  <c r="G40" i="12"/>
  <c r="G59" i="12"/>
  <c r="G61" i="12"/>
  <c r="G46" i="12"/>
  <c r="G45" i="12"/>
  <c r="M14" i="13"/>
  <c r="F56" i="12"/>
  <c r="E56" i="12" a="1"/>
  <c r="D43" i="12"/>
  <c r="C59" i="12"/>
  <c r="D59" i="12"/>
  <c r="F17" i="12"/>
  <c r="C12" i="12"/>
  <c r="D12" i="12"/>
  <c r="F20" i="12"/>
  <c r="G19" i="12"/>
  <c r="B18" i="12"/>
  <c r="C18" i="12" s="1"/>
  <c r="F19" i="12"/>
  <c r="E19" i="12" a="1"/>
  <c r="C19" i="12"/>
  <c r="J47" i="12"/>
  <c r="B47" i="12" s="1"/>
  <c r="F47" i="12" s="1"/>
  <c r="E15" i="12" a="1"/>
  <c r="D15" i="12"/>
  <c r="C15" i="12"/>
  <c r="F15" i="12"/>
  <c r="J66" i="12"/>
  <c r="F44" i="12"/>
  <c r="D56" i="12"/>
  <c r="E36" i="12"/>
  <c r="F32" i="12"/>
  <c r="C58" i="12"/>
  <c r="F13" i="12"/>
  <c r="B34" i="12"/>
  <c r="J48" i="12"/>
  <c r="F59" i="12"/>
  <c r="C57" i="12"/>
  <c r="F16" i="12"/>
  <c r="C29" i="12"/>
  <c r="B63" i="12"/>
  <c r="C63" i="12" s="1"/>
  <c r="F43" i="12"/>
  <c r="F45" i="12"/>
  <c r="E45" i="12" a="1"/>
  <c r="D45" i="12"/>
  <c r="C45" i="12"/>
  <c r="J49" i="12"/>
  <c r="F40" i="12"/>
  <c r="E40" i="12" a="1"/>
  <c r="D40" i="12"/>
  <c r="C40" i="12"/>
  <c r="C20" i="12"/>
  <c r="C43" i="12"/>
  <c r="C14" i="12"/>
  <c r="D16" i="12"/>
  <c r="C13" i="12"/>
  <c r="D14" i="12"/>
  <c r="E16" i="12" a="1"/>
  <c r="C28" i="12"/>
  <c r="C30" i="12"/>
  <c r="E14" i="12" a="1"/>
  <c r="F28" i="12"/>
  <c r="F42" i="12"/>
  <c r="C56" i="12"/>
  <c r="J61" i="12"/>
  <c r="B61" i="12" s="1"/>
  <c r="D61" i="12" s="1"/>
  <c r="E13" i="12" a="1"/>
  <c r="G18" i="12"/>
  <c r="J65" i="12"/>
  <c r="E12" i="12" a="1"/>
  <c r="C41" i="12"/>
  <c r="G47" i="12"/>
  <c r="C42" i="12"/>
  <c r="C60" i="12"/>
  <c r="L135" i="7" l="1"/>
  <c r="M70" i="1"/>
  <c r="O12" i="13"/>
  <c r="N14" i="13"/>
  <c r="O14" i="13"/>
  <c r="E61" i="12" a="1"/>
  <c r="Q26" i="12"/>
  <c r="D18" i="12"/>
  <c r="D22" i="12" s="1"/>
  <c r="B22" i="12"/>
  <c r="G22" i="12"/>
  <c r="F63" i="12"/>
  <c r="B66" i="12"/>
  <c r="C47" i="12"/>
  <c r="B48" i="12"/>
  <c r="C48" i="12" s="1"/>
  <c r="D50" i="12"/>
  <c r="G50" i="12"/>
  <c r="C22" i="12"/>
  <c r="F34" i="12"/>
  <c r="F18" i="12"/>
  <c r="F22" i="12" s="1"/>
  <c r="E18" i="12" a="1"/>
  <c r="E22" i="12" s="1"/>
  <c r="G66" i="12"/>
  <c r="E50" i="12"/>
  <c r="E66" i="12"/>
  <c r="F50" i="12"/>
  <c r="F61" i="12"/>
  <c r="D66" i="12"/>
  <c r="C61" i="12"/>
  <c r="C66" i="12" s="1"/>
  <c r="C34" i="12"/>
  <c r="G1" i="6"/>
  <c r="F1" i="6"/>
  <c r="J1" i="1" l="1"/>
  <c r="P21" i="20"/>
  <c r="P23" i="20" s="1"/>
  <c r="P24" i="20" s="1"/>
  <c r="B36" i="21"/>
  <c r="B35" i="12"/>
  <c r="L212" i="7"/>
  <c r="M111" i="1"/>
  <c r="L294" i="7"/>
  <c r="M179" i="1"/>
  <c r="L136" i="7"/>
  <c r="M71" i="1"/>
  <c r="L65" i="7"/>
  <c r="M18" i="1"/>
  <c r="L288" i="7"/>
  <c r="M173" i="1"/>
  <c r="L289" i="7"/>
  <c r="M174" i="1"/>
  <c r="O21" i="13"/>
  <c r="O23" i="13" s="1"/>
  <c r="O24" i="13" s="1"/>
  <c r="M217" i="1"/>
  <c r="K217" i="1"/>
  <c r="J331" i="7"/>
  <c r="L63" i="7"/>
  <c r="M16" i="1"/>
  <c r="L290" i="7"/>
  <c r="M175" i="1"/>
  <c r="L68" i="7"/>
  <c r="M21" i="1"/>
  <c r="L213" i="7"/>
  <c r="M112" i="1"/>
  <c r="L64" i="7"/>
  <c r="M17" i="1"/>
  <c r="L291" i="7"/>
  <c r="M176" i="1"/>
  <c r="L211" i="7"/>
  <c r="M110" i="1"/>
  <c r="Q15" i="12"/>
  <c r="Q43" i="12"/>
  <c r="Q9" i="12"/>
  <c r="Q14" i="12"/>
  <c r="Q13" i="12"/>
  <c r="Q29" i="12"/>
  <c r="H34" i="12"/>
  <c r="Q59" i="12"/>
  <c r="Q40" i="12"/>
  <c r="F66" i="12"/>
  <c r="Q54" i="12"/>
  <c r="C50" i="12"/>
  <c r="H22" i="12"/>
  <c r="Q11" i="12"/>
  <c r="B50" i="12"/>
  <c r="Q10" i="12"/>
  <c r="Q42" i="12"/>
  <c r="Q12" i="12"/>
  <c r="Q57" i="12"/>
  <c r="Q27" i="12"/>
  <c r="Q55" i="12"/>
  <c r="Q41" i="12"/>
  <c r="Q56" i="12"/>
  <c r="J2" i="7" l="1"/>
  <c r="C36" i="21"/>
  <c r="D68" i="21"/>
  <c r="C68" i="21"/>
  <c r="E68" i="21"/>
  <c r="G68" i="21"/>
  <c r="C24" i="21"/>
  <c r="E52" i="21"/>
  <c r="D24" i="21"/>
  <c r="B68" i="21"/>
  <c r="E24" i="21"/>
  <c r="D52" i="21"/>
  <c r="F52" i="21"/>
  <c r="G67" i="12"/>
  <c r="B67" i="12"/>
  <c r="E51" i="12"/>
  <c r="C35" i="12"/>
  <c r="D51" i="12"/>
  <c r="E67" i="12"/>
  <c r="F51" i="12"/>
  <c r="C23" i="12"/>
  <c r="E23" i="12"/>
  <c r="D23" i="12"/>
  <c r="G23" i="12"/>
  <c r="C67" i="12"/>
  <c r="D67" i="12"/>
  <c r="L139" i="7"/>
  <c r="M74" i="1"/>
  <c r="L215" i="7"/>
  <c r="M114" i="1"/>
  <c r="L66" i="7"/>
  <c r="M19" i="1"/>
  <c r="L210" i="7"/>
  <c r="M109" i="1"/>
  <c r="L62" i="7"/>
  <c r="M15" i="1"/>
  <c r="Q38" i="12"/>
  <c r="H66" i="12"/>
  <c r="Q58" i="12"/>
  <c r="Q39" i="12"/>
  <c r="H50" i="12"/>
  <c r="H68" i="12" s="1"/>
  <c r="F24" i="21" l="1"/>
  <c r="G52" i="21"/>
  <c r="C52" i="21"/>
  <c r="B24" i="21"/>
  <c r="F36" i="21"/>
  <c r="L1" i="1"/>
  <c r="F35" i="12"/>
  <c r="B23" i="12"/>
  <c r="C51" i="12"/>
  <c r="F23" i="12"/>
  <c r="G51" i="12"/>
  <c r="L292" i="7"/>
  <c r="M177" i="1"/>
  <c r="L209" i="7"/>
  <c r="M108" i="1"/>
  <c r="J61" i="5"/>
  <c r="J60" i="5"/>
  <c r="J46" i="5"/>
  <c r="J45" i="5"/>
  <c r="J21" i="5"/>
  <c r="J20" i="5"/>
  <c r="B52" i="21" l="1"/>
  <c r="F68" i="21"/>
  <c r="L2" i="7"/>
  <c r="F67" i="12"/>
  <c r="B51" i="12"/>
  <c r="D234" i="1"/>
  <c r="D233" i="1"/>
  <c r="D232" i="1"/>
  <c r="D231" i="1"/>
  <c r="D230" i="1"/>
  <c r="D229" i="1"/>
  <c r="D227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8" i="1"/>
  <c r="D187" i="1"/>
  <c r="D186" i="1"/>
  <c r="D185" i="1"/>
  <c r="D184" i="1"/>
  <c r="D183" i="1"/>
  <c r="D182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6" i="1"/>
  <c r="D125" i="1"/>
  <c r="D123" i="1"/>
  <c r="D122" i="1"/>
  <c r="D121" i="1"/>
  <c r="D120" i="1"/>
  <c r="D119" i="1"/>
  <c r="D118" i="1"/>
  <c r="D117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7" i="1"/>
  <c r="D74" i="1"/>
  <c r="D72" i="1"/>
  <c r="D71" i="1"/>
  <c r="D70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G52" i="6"/>
  <c r="F52" i="6"/>
  <c r="E52" i="6"/>
  <c r="K10" i="6" s="1"/>
  <c r="E13" i="6"/>
  <c r="M4" i="6"/>
  <c r="L4" i="6"/>
  <c r="K4" i="6"/>
  <c r="J4" i="6"/>
  <c r="E33" i="6"/>
  <c r="K8" i="6" s="1"/>
  <c r="G22" i="6"/>
  <c r="M7" i="6" s="1"/>
  <c r="F22" i="6"/>
  <c r="L7" i="6" s="1"/>
  <c r="E22" i="6"/>
  <c r="K7" i="6" s="1"/>
  <c r="G13" i="6"/>
  <c r="M6" i="6" s="1"/>
  <c r="F30" i="6"/>
  <c r="F13" i="6"/>
  <c r="K6" i="6" l="1"/>
  <c r="E1" i="6"/>
  <c r="L6" i="6"/>
  <c r="L10" i="6"/>
  <c r="M10" i="6"/>
  <c r="G38" i="6" l="1"/>
  <c r="G45" i="6" s="1"/>
  <c r="C39" i="6"/>
  <c r="G33" i="6"/>
  <c r="M8" i="6" s="1"/>
  <c r="F33" i="6"/>
  <c r="D33" i="6"/>
  <c r="J8" i="6" s="1"/>
  <c r="C33" i="6"/>
  <c r="A43" i="5"/>
  <c r="A58" i="5"/>
  <c r="A59" i="5"/>
  <c r="A44" i="5"/>
  <c r="B62" i="5"/>
  <c r="C62" i="5" s="1"/>
  <c r="L59" i="5"/>
  <c r="M59" i="5" s="1"/>
  <c r="L58" i="5"/>
  <c r="M58" i="5" s="1"/>
  <c r="L57" i="5"/>
  <c r="M57" i="5" s="1"/>
  <c r="L56" i="5"/>
  <c r="J63" i="5" s="1"/>
  <c r="J55" i="5"/>
  <c r="L44" i="5"/>
  <c r="M44" i="5" s="1"/>
  <c r="L43" i="5"/>
  <c r="M43" i="5" s="1"/>
  <c r="L42" i="5"/>
  <c r="M42" i="5" s="1"/>
  <c r="L41" i="5"/>
  <c r="J47" i="5" s="1"/>
  <c r="J40" i="5"/>
  <c r="B19" i="5"/>
  <c r="B18" i="5"/>
  <c r="D18" i="5" s="1"/>
  <c r="B17" i="5"/>
  <c r="B16" i="5"/>
  <c r="B15" i="5"/>
  <c r="B14" i="5"/>
  <c r="C18" i="5"/>
  <c r="F18" i="5"/>
  <c r="E39" i="6" l="1"/>
  <c r="D39" i="6"/>
  <c r="D38" i="6" s="1"/>
  <c r="D45" i="6" s="1"/>
  <c r="J9" i="6" s="1"/>
  <c r="M9" i="6"/>
  <c r="M11" i="6" s="1"/>
  <c r="G55" i="6"/>
  <c r="L8" i="6"/>
  <c r="C38" i="6"/>
  <c r="C45" i="6" s="1"/>
  <c r="M56" i="5"/>
  <c r="J64" i="5" s="1"/>
  <c r="M41" i="5"/>
  <c r="J48" i="5" s="1"/>
  <c r="B47" i="5" s="1"/>
  <c r="C47" i="5" s="1"/>
  <c r="E38" i="6" l="1"/>
  <c r="E45" i="6" s="1"/>
  <c r="K9" i="6" s="1"/>
  <c r="K11" i="6" s="1"/>
  <c r="F39" i="6"/>
  <c r="F38" i="6" s="1"/>
  <c r="F45" i="6" s="1"/>
  <c r="M13" i="6"/>
  <c r="H24" i="5"/>
  <c r="E35" i="5"/>
  <c r="E55" i="6" l="1"/>
  <c r="L9" i="6"/>
  <c r="L11" i="6" s="1"/>
  <c r="F55" i="6"/>
  <c r="K13" i="6"/>
  <c r="L13" i="6" l="1"/>
  <c r="F234" i="1" l="1"/>
  <c r="F233" i="1"/>
  <c r="F232" i="1"/>
  <c r="F231" i="1"/>
  <c r="F230" i="1"/>
  <c r="F229" i="1"/>
  <c r="F227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8" i="1"/>
  <c r="F187" i="1"/>
  <c r="F186" i="1"/>
  <c r="F185" i="1"/>
  <c r="F184" i="1"/>
  <c r="F183" i="1"/>
  <c r="F182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D52" i="6"/>
  <c r="J10" i="6" s="1"/>
  <c r="C52" i="6"/>
  <c r="D22" i="6"/>
  <c r="J7" i="6" s="1"/>
  <c r="C22" i="6"/>
  <c r="D13" i="6"/>
  <c r="J6" i="6" s="1"/>
  <c r="C13" i="6"/>
  <c r="C63" i="5"/>
  <c r="I61" i="5"/>
  <c r="I60" i="5"/>
  <c r="B59" i="5"/>
  <c r="C59" i="5" s="1"/>
  <c r="B58" i="5"/>
  <c r="F58" i="5" s="1"/>
  <c r="B57" i="5"/>
  <c r="C57" i="5" s="1"/>
  <c r="B56" i="5"/>
  <c r="F56" i="5" s="1"/>
  <c r="B55" i="5"/>
  <c r="F55" i="5" s="1"/>
  <c r="C48" i="5"/>
  <c r="I46" i="5"/>
  <c r="I45" i="5"/>
  <c r="B44" i="5"/>
  <c r="F44" i="5" s="1"/>
  <c r="B43" i="5"/>
  <c r="C43" i="5" s="1"/>
  <c r="B42" i="5"/>
  <c r="F42" i="5" s="1"/>
  <c r="B41" i="5"/>
  <c r="D41" i="5" s="1"/>
  <c r="B40" i="5"/>
  <c r="F40" i="5" s="1"/>
  <c r="E34" i="5"/>
  <c r="E36" i="5" s="1"/>
  <c r="D34" i="5"/>
  <c r="Q29" i="5" s="1"/>
  <c r="C33" i="5"/>
  <c r="J32" i="5"/>
  <c r="B32" i="5" s="1"/>
  <c r="B31" i="5"/>
  <c r="C31" i="5" s="1"/>
  <c r="B30" i="5"/>
  <c r="F30" i="5" s="1"/>
  <c r="B29" i="5"/>
  <c r="C29" i="5" s="1"/>
  <c r="I21" i="5"/>
  <c r="B21" i="5" s="1"/>
  <c r="I20" i="5"/>
  <c r="B20" i="5" s="1"/>
  <c r="C19" i="5"/>
  <c r="F19" i="5"/>
  <c r="C17" i="5"/>
  <c r="F17" i="5"/>
  <c r="D16" i="5"/>
  <c r="C15" i="5"/>
  <c r="F14" i="5"/>
  <c r="C14" i="5"/>
  <c r="C5" i="5"/>
  <c r="G45" i="5" s="1"/>
  <c r="C3" i="5"/>
  <c r="C2" i="5"/>
  <c r="F130" i="1"/>
  <c r="F129" i="1"/>
  <c r="F128" i="1"/>
  <c r="F126" i="1"/>
  <c r="F125" i="1"/>
  <c r="F123" i="1"/>
  <c r="F122" i="1"/>
  <c r="F121" i="1"/>
  <c r="F120" i="1"/>
  <c r="F119" i="1"/>
  <c r="F118" i="1"/>
  <c r="F117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7" i="1"/>
  <c r="F74" i="1"/>
  <c r="F72" i="1"/>
  <c r="F71" i="1"/>
  <c r="F70" i="1"/>
  <c r="F68" i="1"/>
  <c r="F67" i="1"/>
  <c r="F66" i="1"/>
  <c r="F65" i="1"/>
  <c r="F64" i="1"/>
  <c r="F63" i="1"/>
  <c r="F62" i="1"/>
  <c r="F61" i="1"/>
  <c r="F60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2" i="1"/>
  <c r="F11" i="1"/>
  <c r="F10" i="1"/>
  <c r="F9" i="1"/>
  <c r="F8" i="1"/>
  <c r="F7" i="1"/>
  <c r="F6" i="1"/>
  <c r="C36" i="12" l="1"/>
  <c r="F36" i="12"/>
  <c r="F59" i="1"/>
  <c r="G59" i="1" s="1"/>
  <c r="F13" i="1"/>
  <c r="J11" i="6"/>
  <c r="C55" i="6"/>
  <c r="D55" i="6"/>
  <c r="F59" i="5"/>
  <c r="F20" i="5"/>
  <c r="E18" i="5" a="1"/>
  <c r="B46" i="5"/>
  <c r="F46" i="5" s="1"/>
  <c r="F31" i="5"/>
  <c r="F21" i="5"/>
  <c r="G55" i="5"/>
  <c r="C30" i="5"/>
  <c r="B45" i="5"/>
  <c r="F45" i="5" s="1"/>
  <c r="F43" i="5"/>
  <c r="F41" i="5"/>
  <c r="G42" i="5"/>
  <c r="B23" i="5"/>
  <c r="Q11" i="5" s="1"/>
  <c r="D14" i="5"/>
  <c r="D17" i="5"/>
  <c r="C42" i="5"/>
  <c r="C44" i="5"/>
  <c r="B60" i="5"/>
  <c r="E60" i="5" s="1" a="1"/>
  <c r="D42" i="5"/>
  <c r="D44" i="5"/>
  <c r="D56" i="5"/>
  <c r="B61" i="5"/>
  <c r="F61" i="5" s="1"/>
  <c r="C55" i="5"/>
  <c r="C58" i="5"/>
  <c r="C41" i="5"/>
  <c r="D43" i="5"/>
  <c r="D55" i="5"/>
  <c r="F32" i="5"/>
  <c r="C32" i="5"/>
  <c r="E56" i="5" a="1"/>
  <c r="E17" i="5" a="1"/>
  <c r="C16" i="5"/>
  <c r="D15" i="5"/>
  <c r="E16" i="5" a="1"/>
  <c r="F29" i="5"/>
  <c r="G40" i="5"/>
  <c r="G44" i="5"/>
  <c r="C56" i="5"/>
  <c r="D57" i="5"/>
  <c r="E15" i="5" a="1"/>
  <c r="E57" i="5" a="1"/>
  <c r="E14" i="5" a="1"/>
  <c r="F15" i="5"/>
  <c r="C21" i="5"/>
  <c r="C40" i="5"/>
  <c r="E42" i="5" a="1"/>
  <c r="G43" i="5"/>
  <c r="E55" i="5" a="1"/>
  <c r="F57" i="5"/>
  <c r="F16" i="5"/>
  <c r="E20" i="5" a="1"/>
  <c r="B34" i="5"/>
  <c r="Q27" i="5" s="1"/>
  <c r="D40" i="5"/>
  <c r="E41" i="5" a="1"/>
  <c r="G57" i="5"/>
  <c r="E40" i="5" a="1"/>
  <c r="G46" i="5"/>
  <c r="G56" i="5"/>
  <c r="G20" i="5"/>
  <c r="G41" i="5"/>
  <c r="E47" i="4"/>
  <c r="I59" i="1" l="1"/>
  <c r="K111" i="7"/>
  <c r="R111" i="7" s="1"/>
  <c r="B36" i="12"/>
  <c r="D36" i="12"/>
  <c r="D60" i="5"/>
  <c r="C60" i="5"/>
  <c r="J13" i="6"/>
  <c r="C46" i="5"/>
  <c r="D20" i="5"/>
  <c r="D23" i="5" s="1"/>
  <c r="C20" i="5"/>
  <c r="C23" i="5" s="1"/>
  <c r="F49" i="5"/>
  <c r="G64" i="5"/>
  <c r="Q58" i="5" s="1"/>
  <c r="E45" i="5" a="1"/>
  <c r="E49" i="5" s="1"/>
  <c r="B49" i="5"/>
  <c r="D64" i="5"/>
  <c r="C45" i="5"/>
  <c r="C49" i="5" s="1"/>
  <c r="D45" i="5"/>
  <c r="D49" i="5" s="1"/>
  <c r="F34" i="5"/>
  <c r="E64" i="5"/>
  <c r="C34" i="5"/>
  <c r="B64" i="5"/>
  <c r="F23" i="5"/>
  <c r="C61" i="5"/>
  <c r="C64" i="5" s="1"/>
  <c r="F60" i="5"/>
  <c r="F64" i="5" s="1"/>
  <c r="G23" i="5"/>
  <c r="Q16" i="5" s="1"/>
  <c r="G49" i="5"/>
  <c r="Q43" i="5" s="1"/>
  <c r="E23" i="5"/>
  <c r="J33" i="3"/>
  <c r="J16" i="3"/>
  <c r="B16" i="3" s="1"/>
  <c r="J15" i="3"/>
  <c r="B15" i="3" s="1"/>
  <c r="C15" i="3" s="1"/>
  <c r="F23" i="3"/>
  <c r="F22" i="3"/>
  <c r="F21" i="3"/>
  <c r="F20" i="3"/>
  <c r="F19" i="3"/>
  <c r="F18" i="3"/>
  <c r="F17" i="3"/>
  <c r="F14" i="3"/>
  <c r="F30" i="3"/>
  <c r="F31" i="3"/>
  <c r="F32" i="3"/>
  <c r="F46" i="3"/>
  <c r="F45" i="3"/>
  <c r="F44" i="3"/>
  <c r="F43" i="3"/>
  <c r="F42" i="3"/>
  <c r="F41" i="3"/>
  <c r="F40" i="3"/>
  <c r="F59" i="3"/>
  <c r="F58" i="3"/>
  <c r="F57" i="3"/>
  <c r="F56" i="3"/>
  <c r="F55" i="3"/>
  <c r="E58" i="3" a="1"/>
  <c r="E55" i="3" a="1"/>
  <c r="E54" i="3" a="1"/>
  <c r="E53" i="3" a="1"/>
  <c r="E45" i="3" a="1"/>
  <c r="E42" i="3" a="1"/>
  <c r="E41" i="3" a="1"/>
  <c r="E40" i="3" a="1"/>
  <c r="E22" i="3" a="1"/>
  <c r="E14" i="3" a="1"/>
  <c r="E18" i="3" a="1"/>
  <c r="E17" i="3" a="1"/>
  <c r="G55" i="3"/>
  <c r="G61" i="3" s="1"/>
  <c r="D55" i="3"/>
  <c r="G54" i="3"/>
  <c r="F54" i="3"/>
  <c r="D54" i="3"/>
  <c r="G53" i="3"/>
  <c r="F53" i="3"/>
  <c r="D53" i="3"/>
  <c r="D58" i="3"/>
  <c r="B59" i="3"/>
  <c r="B58" i="3"/>
  <c r="B57" i="3"/>
  <c r="B56" i="3"/>
  <c r="B55" i="3"/>
  <c r="B54" i="3"/>
  <c r="B53" i="3"/>
  <c r="J59" i="3"/>
  <c r="I59" i="3"/>
  <c r="J58" i="3"/>
  <c r="I58" i="3"/>
  <c r="B46" i="3"/>
  <c r="B45" i="3"/>
  <c r="J46" i="3"/>
  <c r="I46" i="3"/>
  <c r="J45" i="3"/>
  <c r="I45" i="3"/>
  <c r="D45" i="3"/>
  <c r="D44" i="3"/>
  <c r="D43" i="3"/>
  <c r="D42" i="3"/>
  <c r="D41" i="3"/>
  <c r="D40" i="3"/>
  <c r="G48" i="3"/>
  <c r="B33" i="3"/>
  <c r="C33" i="3" s="1"/>
  <c r="B32" i="3"/>
  <c r="C32" i="3" s="1"/>
  <c r="B31" i="3"/>
  <c r="C31" i="3" s="1"/>
  <c r="B30" i="3"/>
  <c r="C30" i="3" s="1"/>
  <c r="B21" i="3"/>
  <c r="B19" i="3"/>
  <c r="B14" i="3"/>
  <c r="C14" i="3" s="1"/>
  <c r="B17" i="3"/>
  <c r="D17" i="3" s="1"/>
  <c r="B18" i="3"/>
  <c r="D18" i="3" s="1"/>
  <c r="J23" i="3"/>
  <c r="J22" i="3"/>
  <c r="B44" i="3"/>
  <c r="B40" i="3"/>
  <c r="B41" i="3"/>
  <c r="B42" i="3"/>
  <c r="B43" i="3"/>
  <c r="C60" i="3"/>
  <c r="C47" i="3"/>
  <c r="C34" i="3"/>
  <c r="C20" i="3"/>
  <c r="I23" i="3"/>
  <c r="B23" i="3" s="1"/>
  <c r="I22" i="3"/>
  <c r="B22" i="3" s="1"/>
  <c r="D14" i="3"/>
  <c r="C5" i="3"/>
  <c r="B3" i="3"/>
  <c r="C3" i="3" s="1"/>
  <c r="B2" i="3"/>
  <c r="C2" i="3" s="1"/>
  <c r="B24" i="12" l="1"/>
  <c r="Q41" i="5"/>
  <c r="Q38" i="5"/>
  <c r="Q42" i="5"/>
  <c r="Q30" i="5"/>
  <c r="Q12" i="5"/>
  <c r="Q13" i="5"/>
  <c r="Q14" i="5"/>
  <c r="Q39" i="5"/>
  <c r="Q28" i="5"/>
  <c r="Q40" i="5"/>
  <c r="Q15" i="5"/>
  <c r="Q56" i="5"/>
  <c r="Q53" i="5"/>
  <c r="Q57" i="5"/>
  <c r="Q54" i="5"/>
  <c r="Q55" i="5"/>
  <c r="H34" i="5"/>
  <c r="H49" i="5"/>
  <c r="H64" i="5"/>
  <c r="H23" i="5"/>
  <c r="F33" i="3"/>
  <c r="D16" i="3"/>
  <c r="F16" i="3"/>
  <c r="E16" i="3" a="1"/>
  <c r="E15" i="3" a="1"/>
  <c r="F15" i="3"/>
  <c r="F61" i="3"/>
  <c r="F48" i="3"/>
  <c r="C21" i="3"/>
  <c r="C19" i="3"/>
  <c r="D15" i="3"/>
  <c r="C16" i="3"/>
  <c r="G22" i="3"/>
  <c r="G42" i="3"/>
  <c r="G46" i="3"/>
  <c r="C18" i="3"/>
  <c r="C17" i="3"/>
  <c r="G43" i="3"/>
  <c r="G44" i="3"/>
  <c r="G40" i="3"/>
  <c r="G41" i="3"/>
  <c r="G45" i="3"/>
  <c r="G21" i="3"/>
  <c r="G52" i="12" l="1"/>
  <c r="G65" i="5"/>
  <c r="G66" i="5" s="1"/>
  <c r="G68" i="12"/>
  <c r="H66" i="5"/>
  <c r="G25" i="3"/>
  <c r="D52" i="12" l="1"/>
  <c r="D68" i="12"/>
  <c r="F52" i="12"/>
  <c r="B52" i="12"/>
  <c r="D24" i="12"/>
  <c r="F68" i="12"/>
  <c r="E24" i="12"/>
  <c r="F24" i="12"/>
  <c r="C24" i="12"/>
  <c r="C52" i="12"/>
  <c r="E65" i="5"/>
  <c r="E66" i="5" s="1"/>
  <c r="E68" i="12"/>
  <c r="E50" i="5"/>
  <c r="E51" i="5" s="1"/>
  <c r="E52" i="12"/>
  <c r="C65" i="5"/>
  <c r="C66" i="5" s="1"/>
  <c r="C68" i="12"/>
  <c r="D65" i="5"/>
  <c r="D66" i="5" s="1"/>
  <c r="B65" i="5"/>
  <c r="B66" i="5" s="1"/>
  <c r="B68" i="12"/>
  <c r="C34" i="4"/>
  <c r="C37" i="4" s="1"/>
  <c r="C44" i="4"/>
  <c r="C29" i="4"/>
  <c r="C21" i="4"/>
  <c r="C12" i="4"/>
  <c r="C43" i="3"/>
  <c r="C22" i="3"/>
  <c r="D34" i="4" l="1"/>
  <c r="C47" i="4"/>
  <c r="C53" i="3"/>
  <c r="C40" i="3"/>
  <c r="C42" i="3"/>
  <c r="C44" i="3"/>
  <c r="C58" i="3"/>
  <c r="C45" i="3"/>
  <c r="C54" i="3"/>
  <c r="C41" i="3"/>
  <c r="C46" i="3"/>
  <c r="D22" i="3"/>
  <c r="C55" i="3"/>
  <c r="C56" i="3"/>
  <c r="C57" i="3"/>
  <c r="F35" i="3"/>
  <c r="C59" i="3" l="1"/>
  <c r="E25" i="3"/>
  <c r="E35" i="3"/>
  <c r="D35" i="3"/>
  <c r="B35" i="3"/>
  <c r="D44" i="4"/>
  <c r="D37" i="4"/>
  <c r="D29" i="4"/>
  <c r="D21" i="4"/>
  <c r="D12" i="4"/>
  <c r="F4" i="1"/>
  <c r="G77" i="1" l="1"/>
  <c r="G93" i="1"/>
  <c r="G115" i="1"/>
  <c r="G180" i="1"/>
  <c r="G90" i="1"/>
  <c r="G81" i="1"/>
  <c r="G68" i="1"/>
  <c r="I68" i="1" s="1"/>
  <c r="G162" i="1"/>
  <c r="D47" i="4"/>
  <c r="F25" i="3"/>
  <c r="C23" i="3"/>
  <c r="B25" i="3"/>
  <c r="C35" i="3"/>
  <c r="H35" i="3" s="1"/>
  <c r="E61" i="3"/>
  <c r="H61" i="3" s="1"/>
  <c r="C61" i="3"/>
  <c r="D48" i="3"/>
  <c r="E48" i="3"/>
  <c r="H48" i="3" s="1"/>
  <c r="B61" i="3"/>
  <c r="B48" i="3"/>
  <c r="D25" i="3"/>
  <c r="C2" i="2"/>
  <c r="G234" i="1"/>
  <c r="I234" i="1" s="1"/>
  <c r="G233" i="1"/>
  <c r="I233" i="1" s="1"/>
  <c r="G232" i="1"/>
  <c r="G231" i="1"/>
  <c r="I231" i="1" s="1"/>
  <c r="G227" i="1"/>
  <c r="I227" i="1" s="1"/>
  <c r="G220" i="1"/>
  <c r="I220" i="1" s="1"/>
  <c r="G219" i="1"/>
  <c r="G218" i="1"/>
  <c r="I218" i="1" s="1"/>
  <c r="G217" i="1"/>
  <c r="G214" i="1"/>
  <c r="I214" i="1" s="1"/>
  <c r="G213" i="1"/>
  <c r="G212" i="1"/>
  <c r="G211" i="1"/>
  <c r="I211" i="1" s="1"/>
  <c r="G210" i="1"/>
  <c r="G209" i="1"/>
  <c r="G206" i="1"/>
  <c r="G205" i="1"/>
  <c r="I205" i="1" s="1"/>
  <c r="G204" i="1"/>
  <c r="G203" i="1"/>
  <c r="G202" i="1"/>
  <c r="G201" i="1"/>
  <c r="G198" i="1"/>
  <c r="G197" i="1"/>
  <c r="G196" i="1"/>
  <c r="G195" i="1"/>
  <c r="G194" i="1"/>
  <c r="G193" i="1"/>
  <c r="G190" i="1"/>
  <c r="G188" i="1"/>
  <c r="G187" i="1"/>
  <c r="G186" i="1"/>
  <c r="G185" i="1"/>
  <c r="G184" i="1"/>
  <c r="G179" i="1"/>
  <c r="G178" i="1"/>
  <c r="G176" i="1"/>
  <c r="G172" i="1"/>
  <c r="I172" i="1" s="1"/>
  <c r="G171" i="1"/>
  <c r="I171" i="1" s="1"/>
  <c r="G170" i="1"/>
  <c r="I170" i="1" s="1"/>
  <c r="G168" i="1"/>
  <c r="I168" i="1" s="1"/>
  <c r="G165" i="1"/>
  <c r="G164" i="1"/>
  <c r="I164" i="1" s="1"/>
  <c r="G163" i="1"/>
  <c r="G110" i="1"/>
  <c r="G102" i="1"/>
  <c r="I102" i="1" s="1"/>
  <c r="G95" i="1"/>
  <c r="I95" i="1" s="1"/>
  <c r="G67" i="1"/>
  <c r="I67" i="1" s="1"/>
  <c r="G6" i="1"/>
  <c r="E6" i="2"/>
  <c r="E4" i="2" s="1"/>
  <c r="R221" i="1" l="1"/>
  <c r="R228" i="1"/>
  <c r="R230" i="1"/>
  <c r="R231" i="1"/>
  <c r="R232" i="1"/>
  <c r="R229" i="1"/>
  <c r="R223" i="1"/>
  <c r="R224" i="1"/>
  <c r="T224" i="1" s="1"/>
  <c r="R219" i="1"/>
  <c r="R226" i="1"/>
  <c r="R227" i="1"/>
  <c r="R234" i="1"/>
  <c r="R222" i="1"/>
  <c r="R233" i="1"/>
  <c r="R225" i="1"/>
  <c r="R220" i="1"/>
  <c r="R212" i="1"/>
  <c r="R218" i="1"/>
  <c r="R213" i="1"/>
  <c r="R214" i="1"/>
  <c r="R211" i="1"/>
  <c r="R215" i="1"/>
  <c r="R216" i="1"/>
  <c r="R217" i="1"/>
  <c r="R210" i="1"/>
  <c r="R209" i="1"/>
  <c r="R55" i="1"/>
  <c r="R193" i="1"/>
  <c r="R16" i="1"/>
  <c r="R124" i="1"/>
  <c r="R104" i="1"/>
  <c r="R159" i="1"/>
  <c r="R93" i="1"/>
  <c r="R126" i="1"/>
  <c r="R121" i="1"/>
  <c r="R92" i="1"/>
  <c r="R162" i="1"/>
  <c r="R21" i="1"/>
  <c r="R144" i="1"/>
  <c r="R78" i="1"/>
  <c r="R91" i="1"/>
  <c r="R6" i="1"/>
  <c r="R99" i="1"/>
  <c r="R47" i="1"/>
  <c r="R157" i="1"/>
  <c r="R158" i="1"/>
  <c r="R53" i="1"/>
  <c r="R203" i="1"/>
  <c r="R13" i="1"/>
  <c r="R197" i="1"/>
  <c r="R66" i="1"/>
  <c r="R37" i="1"/>
  <c r="R165" i="1"/>
  <c r="R184" i="1"/>
  <c r="R145" i="1"/>
  <c r="R178" i="1"/>
  <c r="R152" i="1"/>
  <c r="R19" i="1"/>
  <c r="R141" i="1"/>
  <c r="R190" i="1"/>
  <c r="R181" i="1"/>
  <c r="R74" i="1"/>
  <c r="R149" i="1"/>
  <c r="R83" i="1"/>
  <c r="R73" i="1"/>
  <c r="T73" i="1" s="1"/>
  <c r="R187" i="1"/>
  <c r="R87" i="1"/>
  <c r="R170" i="1"/>
  <c r="R25" i="1"/>
  <c r="R199" i="1"/>
  <c r="R112" i="1"/>
  <c r="R61" i="1"/>
  <c r="R176" i="1"/>
  <c r="T176" i="1" s="1"/>
  <c r="R77" i="1"/>
  <c r="R202" i="1"/>
  <c r="R85" i="1"/>
  <c r="R60" i="1"/>
  <c r="R205" i="1"/>
  <c r="R57" i="1"/>
  <c r="R17" i="1"/>
  <c r="R198" i="1"/>
  <c r="R44" i="1"/>
  <c r="R167" i="1"/>
  <c r="R161" i="1"/>
  <c r="R43" i="1"/>
  <c r="R201" i="1"/>
  <c r="R36" i="1"/>
  <c r="R125" i="1"/>
  <c r="R39" i="1"/>
  <c r="R146" i="1"/>
  <c r="R76" i="1"/>
  <c r="R179" i="1"/>
  <c r="R59" i="1"/>
  <c r="R11" i="1"/>
  <c r="R72" i="1"/>
  <c r="R163" i="1"/>
  <c r="R195" i="1"/>
  <c r="R134" i="1"/>
  <c r="R107" i="1"/>
  <c r="R115" i="1"/>
  <c r="R38" i="1"/>
  <c r="R106" i="1"/>
  <c r="R166" i="1"/>
  <c r="R103" i="1"/>
  <c r="R71" i="1"/>
  <c r="R20" i="1"/>
  <c r="R180" i="1"/>
  <c r="R70" i="1"/>
  <c r="R51" i="1"/>
  <c r="R64" i="1"/>
  <c r="R88" i="1"/>
  <c r="R113" i="1"/>
  <c r="R84" i="1"/>
  <c r="R140" i="1"/>
  <c r="R8" i="1"/>
  <c r="R131" i="1"/>
  <c r="R31" i="1"/>
  <c r="R137" i="1"/>
  <c r="R116" i="1"/>
  <c r="R50" i="1"/>
  <c r="R94" i="1"/>
  <c r="R177" i="1"/>
  <c r="R80" i="1"/>
  <c r="R100" i="1"/>
  <c r="R32" i="1"/>
  <c r="R127" i="1"/>
  <c r="R135" i="1"/>
  <c r="R108" i="1"/>
  <c r="R18" i="1"/>
  <c r="T18" i="1" s="1"/>
  <c r="R67" i="1"/>
  <c r="R35" i="1"/>
  <c r="R133" i="1"/>
  <c r="R90" i="1"/>
  <c r="R200" i="1"/>
  <c r="R191" i="1"/>
  <c r="R68" i="1"/>
  <c r="R9" i="1"/>
  <c r="R189" i="1"/>
  <c r="R160" i="1"/>
  <c r="R12" i="1"/>
  <c r="R117" i="1"/>
  <c r="R118" i="1"/>
  <c r="R138" i="1"/>
  <c r="R110" i="1"/>
  <c r="R109" i="1"/>
  <c r="R196" i="1"/>
  <c r="R56" i="1"/>
  <c r="R102" i="1"/>
  <c r="R147" i="1"/>
  <c r="R155" i="1"/>
  <c r="R97" i="1"/>
  <c r="R86" i="1"/>
  <c r="R207" i="1"/>
  <c r="R164" i="1"/>
  <c r="R46" i="1"/>
  <c r="R188" i="1"/>
  <c r="R143" i="1"/>
  <c r="R24" i="1"/>
  <c r="R156" i="1"/>
  <c r="R136" i="1"/>
  <c r="R120" i="1"/>
  <c r="R96" i="1"/>
  <c r="R62" i="1"/>
  <c r="R129" i="1"/>
  <c r="R23" i="1"/>
  <c r="R45" i="1"/>
  <c r="R34" i="1"/>
  <c r="R40" i="1"/>
  <c r="R95" i="1"/>
  <c r="R150" i="1"/>
  <c r="R168" i="1"/>
  <c r="R89" i="1"/>
  <c r="R69" i="1"/>
  <c r="R186" i="1"/>
  <c r="R174" i="1"/>
  <c r="R33" i="1"/>
  <c r="R206" i="1"/>
  <c r="R194" i="1"/>
  <c r="R171" i="1"/>
  <c r="R153" i="1"/>
  <c r="R128" i="1"/>
  <c r="R28" i="1"/>
  <c r="R10" i="1"/>
  <c r="R41" i="1"/>
  <c r="R185" i="1"/>
  <c r="R101" i="1"/>
  <c r="R169" i="1"/>
  <c r="R204" i="1"/>
  <c r="R7" i="1"/>
  <c r="R172" i="1"/>
  <c r="R132" i="1"/>
  <c r="R48" i="1"/>
  <c r="R29" i="1"/>
  <c r="R42" i="1"/>
  <c r="R111" i="1"/>
  <c r="T111" i="1" s="1"/>
  <c r="R98" i="1"/>
  <c r="R58" i="1"/>
  <c r="R27" i="1"/>
  <c r="R208" i="1"/>
  <c r="R148" i="1"/>
  <c r="R30" i="1"/>
  <c r="R175" i="1"/>
  <c r="R114" i="1"/>
  <c r="R54" i="1"/>
  <c r="R192" i="1"/>
  <c r="R26" i="1"/>
  <c r="R75" i="1"/>
  <c r="R49" i="1"/>
  <c r="R14" i="1"/>
  <c r="R154" i="1"/>
  <c r="R139" i="1"/>
  <c r="R105" i="1"/>
  <c r="R52" i="1"/>
  <c r="R173" i="1"/>
  <c r="R22" i="1"/>
  <c r="R82" i="1"/>
  <c r="R183" i="1"/>
  <c r="R182" i="1"/>
  <c r="R130" i="1"/>
  <c r="R15" i="1"/>
  <c r="R119" i="1"/>
  <c r="R79" i="1"/>
  <c r="R122" i="1"/>
  <c r="R81" i="1"/>
  <c r="R123" i="1"/>
  <c r="R63" i="1"/>
  <c r="R65" i="1"/>
  <c r="R142" i="1"/>
  <c r="R151" i="1"/>
  <c r="I203" i="1"/>
  <c r="K320" i="7"/>
  <c r="R320" i="7" s="1"/>
  <c r="I176" i="1"/>
  <c r="K291" i="7"/>
  <c r="R291" i="7" s="1"/>
  <c r="I202" i="1"/>
  <c r="K319" i="7"/>
  <c r="R319" i="7" s="1"/>
  <c r="I204" i="1"/>
  <c r="K321" i="7"/>
  <c r="R321" i="7" s="1"/>
  <c r="I210" i="1"/>
  <c r="K326" i="7"/>
  <c r="R326" i="7" s="1"/>
  <c r="I212" i="1"/>
  <c r="K327" i="7"/>
  <c r="R327" i="7" s="1"/>
  <c r="I186" i="1"/>
  <c r="K301" i="7"/>
  <c r="R301" i="7" s="1"/>
  <c r="I6" i="1"/>
  <c r="K52" i="7"/>
  <c r="I206" i="1"/>
  <c r="K322" i="7"/>
  <c r="R322" i="7" s="1"/>
  <c r="I178" i="1"/>
  <c r="K293" i="7"/>
  <c r="R293" i="7" s="1"/>
  <c r="I179" i="1"/>
  <c r="K294" i="7"/>
  <c r="R294" i="7" s="1"/>
  <c r="I184" i="1"/>
  <c r="K299" i="7"/>
  <c r="R299" i="7" s="1"/>
  <c r="I217" i="1"/>
  <c r="K331" i="7"/>
  <c r="R331" i="7" s="1"/>
  <c r="I190" i="1"/>
  <c r="K305" i="7"/>
  <c r="R305" i="7" s="1"/>
  <c r="I193" i="1"/>
  <c r="K308" i="7"/>
  <c r="R308" i="7" s="1"/>
  <c r="I197" i="1"/>
  <c r="K313" i="7"/>
  <c r="R313" i="7" s="1"/>
  <c r="I180" i="1"/>
  <c r="K295" i="7"/>
  <c r="R295" i="7" s="1"/>
  <c r="I162" i="1"/>
  <c r="K283" i="7"/>
  <c r="R283" i="7" s="1"/>
  <c r="I194" i="1"/>
  <c r="K309" i="7"/>
  <c r="R309" i="7" s="1"/>
  <c r="I81" i="1"/>
  <c r="K146" i="7"/>
  <c r="R146" i="7" s="1"/>
  <c r="I196" i="1"/>
  <c r="K312" i="7"/>
  <c r="R312" i="7" s="1"/>
  <c r="I198" i="1"/>
  <c r="K314" i="7"/>
  <c r="R314" i="7" s="1"/>
  <c r="I115" i="1"/>
  <c r="K216" i="7"/>
  <c r="R216" i="7" s="1"/>
  <c r="I209" i="1"/>
  <c r="K325" i="7"/>
  <c r="R325" i="7" s="1"/>
  <c r="I185" i="1"/>
  <c r="K300" i="7"/>
  <c r="R300" i="7" s="1"/>
  <c r="I213" i="1"/>
  <c r="K328" i="7"/>
  <c r="R328" i="7" s="1"/>
  <c r="I187" i="1"/>
  <c r="K302" i="7"/>
  <c r="R302" i="7" s="1"/>
  <c r="I188" i="1"/>
  <c r="K303" i="7"/>
  <c r="R303" i="7" s="1"/>
  <c r="I219" i="1"/>
  <c r="K341" i="7"/>
  <c r="R341" i="7" s="1"/>
  <c r="I195" i="1"/>
  <c r="K311" i="7"/>
  <c r="R311" i="7" s="1"/>
  <c r="I110" i="1"/>
  <c r="K211" i="7"/>
  <c r="R211" i="7" s="1"/>
  <c r="I90" i="1"/>
  <c r="K195" i="7"/>
  <c r="R195" i="7" s="1"/>
  <c r="I163" i="1"/>
  <c r="K284" i="7"/>
  <c r="R284" i="7" s="1"/>
  <c r="I232" i="1"/>
  <c r="K354" i="7"/>
  <c r="R354" i="7" s="1"/>
  <c r="I165" i="1"/>
  <c r="K286" i="7"/>
  <c r="R286" i="7" s="1"/>
  <c r="I201" i="1"/>
  <c r="K318" i="7"/>
  <c r="R318" i="7" s="1"/>
  <c r="I93" i="1"/>
  <c r="K198" i="7"/>
  <c r="R198" i="7" s="1"/>
  <c r="I77" i="1"/>
  <c r="K142" i="7"/>
  <c r="R142" i="7" s="1"/>
  <c r="G125" i="1"/>
  <c r="G134" i="1"/>
  <c r="G142" i="1"/>
  <c r="G150" i="1"/>
  <c r="G85" i="1"/>
  <c r="G71" i="1"/>
  <c r="G10" i="1"/>
  <c r="G17" i="1"/>
  <c r="G25" i="1"/>
  <c r="G33" i="1"/>
  <c r="G42" i="1"/>
  <c r="G72" i="1"/>
  <c r="I72" i="1" s="1"/>
  <c r="G86" i="1"/>
  <c r="G158" i="1"/>
  <c r="G119" i="1"/>
  <c r="G50" i="1"/>
  <c r="G58" i="1"/>
  <c r="G100" i="1"/>
  <c r="G84" i="1"/>
  <c r="G94" i="1"/>
  <c r="G109" i="1"/>
  <c r="G129" i="1"/>
  <c r="G137" i="1"/>
  <c r="G107" i="1"/>
  <c r="I107" i="1" s="1"/>
  <c r="G145" i="1"/>
  <c r="G153" i="1"/>
  <c r="G92" i="1"/>
  <c r="G12" i="1"/>
  <c r="G19" i="1"/>
  <c r="G27" i="1"/>
  <c r="G36" i="1"/>
  <c r="I36" i="1" s="1"/>
  <c r="G44" i="1"/>
  <c r="I44" i="1" s="1"/>
  <c r="G52" i="1"/>
  <c r="G60" i="1"/>
  <c r="G166" i="1"/>
  <c r="G173" i="1"/>
  <c r="G130" i="1"/>
  <c r="G154" i="1"/>
  <c r="G14" i="1"/>
  <c r="G21" i="1"/>
  <c r="G29" i="1"/>
  <c r="G38" i="1"/>
  <c r="G46" i="1"/>
  <c r="I46" i="1" s="1"/>
  <c r="G54" i="1"/>
  <c r="G62" i="1"/>
  <c r="G96" i="1"/>
  <c r="I96" i="1" s="1"/>
  <c r="G103" i="1"/>
  <c r="I103" i="1" s="1"/>
  <c r="G111" i="1"/>
  <c r="G121" i="1"/>
  <c r="G131" i="1"/>
  <c r="I131" i="1" s="1"/>
  <c r="G139" i="1"/>
  <c r="I139" i="1" s="1"/>
  <c r="G147" i="1"/>
  <c r="G155" i="1"/>
  <c r="G167" i="1"/>
  <c r="I167" i="1" s="1"/>
  <c r="G175" i="1"/>
  <c r="G8" i="1"/>
  <c r="G15" i="1"/>
  <c r="G23" i="1"/>
  <c r="G31" i="1"/>
  <c r="G40" i="1"/>
  <c r="G48" i="1"/>
  <c r="G56" i="1"/>
  <c r="G123" i="1"/>
  <c r="G133" i="1"/>
  <c r="G141" i="1"/>
  <c r="G149" i="1"/>
  <c r="G157" i="1"/>
  <c r="G169" i="1"/>
  <c r="I169" i="1" s="1"/>
  <c r="G177" i="1"/>
  <c r="G120" i="1"/>
  <c r="G146" i="1"/>
  <c r="I146" i="1" s="1"/>
  <c r="G106" i="1"/>
  <c r="I106" i="1" s="1"/>
  <c r="G91" i="1"/>
  <c r="G117" i="1"/>
  <c r="G126" i="1"/>
  <c r="G135" i="1"/>
  <c r="G143" i="1"/>
  <c r="I143" i="1" s="1"/>
  <c r="G151" i="1"/>
  <c r="I151" i="1" s="1"/>
  <c r="G160" i="1"/>
  <c r="I160" i="1" s="1"/>
  <c r="G138" i="1"/>
  <c r="G99" i="1"/>
  <c r="G114" i="1"/>
  <c r="G11" i="1"/>
  <c r="G18" i="1"/>
  <c r="G26" i="1"/>
  <c r="G35" i="1"/>
  <c r="G43" i="1"/>
  <c r="G51" i="1"/>
  <c r="G83" i="1"/>
  <c r="G101" i="1"/>
  <c r="G108" i="1"/>
  <c r="G118" i="1"/>
  <c r="G128" i="1"/>
  <c r="G136" i="1"/>
  <c r="G144" i="1"/>
  <c r="G152" i="1"/>
  <c r="I152" i="1" s="1"/>
  <c r="G182" i="1"/>
  <c r="G191" i="1"/>
  <c r="G199" i="1"/>
  <c r="G207" i="1"/>
  <c r="G215" i="1"/>
  <c r="G229" i="1"/>
  <c r="G230" i="1"/>
  <c r="G13" i="1"/>
  <c r="G20" i="1"/>
  <c r="G28" i="1"/>
  <c r="G37" i="1"/>
  <c r="G45" i="1"/>
  <c r="G53" i="1"/>
  <c r="G61" i="1"/>
  <c r="I61" i="1" s="1"/>
  <c r="G174" i="1"/>
  <c r="G7" i="1"/>
  <c r="G22" i="1"/>
  <c r="G30" i="1"/>
  <c r="G39" i="1"/>
  <c r="I39" i="1" s="1"/>
  <c r="G47" i="1"/>
  <c r="G55" i="1"/>
  <c r="G63" i="1"/>
  <c r="G74" i="1"/>
  <c r="G87" i="1"/>
  <c r="G97" i="1"/>
  <c r="I97" i="1" s="1"/>
  <c r="G104" i="1"/>
  <c r="I104" i="1" s="1"/>
  <c r="G112" i="1"/>
  <c r="G122" i="1"/>
  <c r="G132" i="1"/>
  <c r="G140" i="1"/>
  <c r="G148" i="1"/>
  <c r="I148" i="1" s="1"/>
  <c r="G156" i="1"/>
  <c r="G64" i="1"/>
  <c r="I64" i="1" s="1"/>
  <c r="G65" i="1"/>
  <c r="G79" i="1"/>
  <c r="G88" i="1"/>
  <c r="G98" i="1"/>
  <c r="I98" i="1" s="1"/>
  <c r="G105" i="1"/>
  <c r="I105" i="1" s="1"/>
  <c r="G113" i="1"/>
  <c r="G9" i="1"/>
  <c r="G16" i="1"/>
  <c r="G24" i="1"/>
  <c r="G32" i="1"/>
  <c r="G41" i="1"/>
  <c r="G49" i="1"/>
  <c r="I49" i="1" s="1"/>
  <c r="G57" i="1"/>
  <c r="I57" i="1" s="1"/>
  <c r="G66" i="1"/>
  <c r="G80" i="1"/>
  <c r="G89" i="1"/>
  <c r="I89" i="1" s="1"/>
  <c r="G82" i="1"/>
  <c r="G161" i="1"/>
  <c r="I161" i="1" s="1"/>
  <c r="G70" i="1"/>
  <c r="G183" i="1"/>
  <c r="G192" i="1"/>
  <c r="G200" i="1"/>
  <c r="G208" i="1"/>
  <c r="G216" i="1"/>
  <c r="C25" i="3"/>
  <c r="H25" i="3" s="1"/>
  <c r="D61" i="3"/>
  <c r="C48" i="3"/>
  <c r="R52" i="7" l="1"/>
  <c r="V92" i="1"/>
  <c r="T92" i="1"/>
  <c r="T220" i="1"/>
  <c r="V220" i="1"/>
  <c r="V12" i="1"/>
  <c r="T12" i="1"/>
  <c r="V208" i="1"/>
  <c r="T208" i="1"/>
  <c r="T141" i="1"/>
  <c r="V141" i="1"/>
  <c r="T24" i="1"/>
  <c r="V24" i="1"/>
  <c r="T205" i="1"/>
  <c r="V205" i="1"/>
  <c r="T162" i="1"/>
  <c r="V162" i="1"/>
  <c r="V68" i="1"/>
  <c r="T68" i="1"/>
  <c r="V22" i="1"/>
  <c r="T22" i="1"/>
  <c r="T225" i="1"/>
  <c r="V225" i="1"/>
  <c r="V164" i="1"/>
  <c r="T164" i="1"/>
  <c r="V184" i="1"/>
  <c r="T184" i="1"/>
  <c r="T207" i="1"/>
  <c r="V207" i="1"/>
  <c r="V93" i="1"/>
  <c r="T93" i="1"/>
  <c r="V86" i="1"/>
  <c r="T86" i="1"/>
  <c r="T37" i="1"/>
  <c r="V37" i="1"/>
  <c r="V227" i="1"/>
  <c r="T227" i="1"/>
  <c r="T151" i="1"/>
  <c r="V151" i="1"/>
  <c r="V7" i="1"/>
  <c r="T7" i="1"/>
  <c r="V95" i="1"/>
  <c r="T95" i="1"/>
  <c r="V147" i="1"/>
  <c r="T147" i="1"/>
  <c r="V51" i="1"/>
  <c r="T51" i="1"/>
  <c r="T39" i="1"/>
  <c r="V39" i="1"/>
  <c r="V25" i="1"/>
  <c r="T25" i="1"/>
  <c r="T13" i="1"/>
  <c r="V13" i="1"/>
  <c r="V16" i="1"/>
  <c r="T16" i="1"/>
  <c r="T219" i="1"/>
  <c r="V219" i="1"/>
  <c r="V156" i="1"/>
  <c r="T156" i="1"/>
  <c r="T206" i="1"/>
  <c r="V206" i="1"/>
  <c r="V174" i="1"/>
  <c r="T174" i="1"/>
  <c r="V90" i="1"/>
  <c r="T90" i="1"/>
  <c r="V132" i="1"/>
  <c r="T132" i="1"/>
  <c r="T75" i="1"/>
  <c r="V75" i="1"/>
  <c r="T87" i="1"/>
  <c r="V87" i="1"/>
  <c r="T53" i="1"/>
  <c r="V53" i="1"/>
  <c r="T55" i="1"/>
  <c r="V55" i="1"/>
  <c r="T223" i="1"/>
  <c r="V223" i="1"/>
  <c r="T15" i="1"/>
  <c r="V15" i="1"/>
  <c r="T115" i="1"/>
  <c r="V115" i="1"/>
  <c r="T171" i="1"/>
  <c r="V171" i="1"/>
  <c r="T144" i="1"/>
  <c r="V144" i="1"/>
  <c r="V218" i="1"/>
  <c r="T218" i="1"/>
  <c r="T9" i="1"/>
  <c r="V9" i="1"/>
  <c r="V82" i="1"/>
  <c r="T82" i="1"/>
  <c r="T178" i="1"/>
  <c r="V178" i="1"/>
  <c r="T46" i="1"/>
  <c r="V46" i="1"/>
  <c r="T72" i="1"/>
  <c r="V72" i="1"/>
  <c r="T42" i="1"/>
  <c r="V42" i="1"/>
  <c r="V126" i="1"/>
  <c r="T126" i="1"/>
  <c r="V89" i="1"/>
  <c r="T89" i="1"/>
  <c r="V159" i="1"/>
  <c r="T159" i="1"/>
  <c r="T112" i="1"/>
  <c r="V112" i="1"/>
  <c r="T172" i="1"/>
  <c r="V172" i="1"/>
  <c r="V64" i="1"/>
  <c r="T64" i="1"/>
  <c r="V14" i="1"/>
  <c r="T14" i="1"/>
  <c r="T70" i="1"/>
  <c r="V70" i="1"/>
  <c r="V169" i="1"/>
  <c r="T169" i="1"/>
  <c r="V56" i="1"/>
  <c r="T56" i="1"/>
  <c r="T63" i="1"/>
  <c r="V63" i="1"/>
  <c r="V26" i="1"/>
  <c r="T26" i="1"/>
  <c r="V101" i="1"/>
  <c r="T101" i="1"/>
  <c r="V45" i="1"/>
  <c r="T45" i="1"/>
  <c r="V196" i="1"/>
  <c r="T196" i="1"/>
  <c r="T127" i="1"/>
  <c r="V127" i="1"/>
  <c r="T20" i="1"/>
  <c r="V20" i="1"/>
  <c r="V201" i="1"/>
  <c r="T201" i="1"/>
  <c r="V187" i="1"/>
  <c r="T187" i="1"/>
  <c r="V158" i="1"/>
  <c r="T158" i="1"/>
  <c r="V209" i="1"/>
  <c r="T209" i="1"/>
  <c r="V229" i="1"/>
  <c r="T229" i="1"/>
  <c r="T148" i="1"/>
  <c r="V148" i="1"/>
  <c r="V78" i="1"/>
  <c r="T78" i="1"/>
  <c r="T160" i="1"/>
  <c r="V160" i="1"/>
  <c r="T194" i="1"/>
  <c r="V194" i="1"/>
  <c r="T19" i="1"/>
  <c r="V19" i="1"/>
  <c r="T152" i="1"/>
  <c r="V152" i="1"/>
  <c r="V88" i="1"/>
  <c r="T88" i="1"/>
  <c r="T150" i="1"/>
  <c r="V150" i="1"/>
  <c r="T226" i="1"/>
  <c r="V226" i="1"/>
  <c r="T142" i="1"/>
  <c r="V142" i="1"/>
  <c r="V193" i="1"/>
  <c r="T193" i="1"/>
  <c r="T34" i="1"/>
  <c r="V34" i="1"/>
  <c r="T123" i="1"/>
  <c r="V123" i="1"/>
  <c r="V192" i="1"/>
  <c r="T192" i="1"/>
  <c r="V185" i="1"/>
  <c r="T185" i="1"/>
  <c r="V23" i="1"/>
  <c r="T23" i="1"/>
  <c r="V109" i="1"/>
  <c r="T109" i="1"/>
  <c r="T32" i="1"/>
  <c r="V32" i="1"/>
  <c r="T71" i="1"/>
  <c r="V71" i="1"/>
  <c r="T43" i="1"/>
  <c r="V43" i="1"/>
  <c r="T157" i="1"/>
  <c r="V157" i="1"/>
  <c r="V210" i="1"/>
  <c r="T210" i="1"/>
  <c r="V232" i="1"/>
  <c r="T232" i="1"/>
  <c r="V136" i="1"/>
  <c r="T136" i="1"/>
  <c r="T17" i="1"/>
  <c r="V17" i="1"/>
  <c r="V213" i="1"/>
  <c r="T213" i="1"/>
  <c r="V189" i="1"/>
  <c r="T189" i="1"/>
  <c r="T58" i="1"/>
  <c r="V58" i="1"/>
  <c r="T212" i="1"/>
  <c r="V212" i="1"/>
  <c r="T85" i="1"/>
  <c r="V85" i="1"/>
  <c r="V121" i="1"/>
  <c r="T121" i="1"/>
  <c r="T200" i="1"/>
  <c r="V200" i="1"/>
  <c r="T77" i="1"/>
  <c r="V77" i="1"/>
  <c r="T69" i="1"/>
  <c r="V69" i="1"/>
  <c r="T59" i="1"/>
  <c r="V59" i="1"/>
  <c r="T234" i="1"/>
  <c r="V234" i="1"/>
  <c r="V35" i="1"/>
  <c r="T35" i="1"/>
  <c r="V154" i="1"/>
  <c r="T154" i="1"/>
  <c r="T197" i="1"/>
  <c r="V197" i="1"/>
  <c r="T49" i="1"/>
  <c r="V49" i="1"/>
  <c r="V125" i="1"/>
  <c r="T125" i="1"/>
  <c r="T180" i="1"/>
  <c r="V180" i="1"/>
  <c r="T81" i="1"/>
  <c r="V81" i="1"/>
  <c r="T54" i="1"/>
  <c r="V54" i="1"/>
  <c r="V41" i="1"/>
  <c r="T41" i="1"/>
  <c r="V129" i="1"/>
  <c r="T129" i="1"/>
  <c r="V110" i="1"/>
  <c r="T110" i="1"/>
  <c r="V100" i="1"/>
  <c r="T100" i="1"/>
  <c r="T103" i="1"/>
  <c r="V103" i="1"/>
  <c r="T161" i="1"/>
  <c r="V161" i="1"/>
  <c r="T83" i="1"/>
  <c r="V83" i="1"/>
  <c r="T47" i="1"/>
  <c r="V47" i="1"/>
  <c r="T217" i="1"/>
  <c r="V217" i="1"/>
  <c r="V231" i="1"/>
  <c r="T231" i="1"/>
  <c r="T153" i="1"/>
  <c r="V153" i="1"/>
  <c r="T190" i="1"/>
  <c r="V190" i="1"/>
  <c r="V107" i="1"/>
  <c r="T107" i="1"/>
  <c r="V27" i="1"/>
  <c r="T27" i="1"/>
  <c r="V134" i="1"/>
  <c r="T134" i="1"/>
  <c r="V143" i="1"/>
  <c r="T143" i="1"/>
  <c r="T60" i="1"/>
  <c r="V60" i="1"/>
  <c r="V98" i="1"/>
  <c r="T98" i="1"/>
  <c r="T131" i="1"/>
  <c r="V131" i="1"/>
  <c r="V191" i="1"/>
  <c r="T191" i="1"/>
  <c r="T202" i="1"/>
  <c r="V202" i="1"/>
  <c r="T233" i="1"/>
  <c r="V233" i="1"/>
  <c r="T165" i="1"/>
  <c r="V165" i="1"/>
  <c r="T48" i="1"/>
  <c r="V48" i="1"/>
  <c r="T179" i="1"/>
  <c r="V179" i="1"/>
  <c r="V168" i="1"/>
  <c r="T168" i="1"/>
  <c r="V66" i="1"/>
  <c r="T66" i="1"/>
  <c r="T67" i="1"/>
  <c r="V67" i="1"/>
  <c r="T199" i="1"/>
  <c r="V199" i="1"/>
  <c r="T40" i="1"/>
  <c r="V40" i="1"/>
  <c r="V203" i="1"/>
  <c r="T203" i="1"/>
  <c r="V36" i="1"/>
  <c r="T36" i="1"/>
  <c r="V122" i="1"/>
  <c r="T122" i="1"/>
  <c r="T114" i="1"/>
  <c r="V114" i="1"/>
  <c r="T10" i="1"/>
  <c r="V10" i="1"/>
  <c r="T62" i="1"/>
  <c r="V62" i="1"/>
  <c r="T138" i="1"/>
  <c r="V138" i="1"/>
  <c r="V80" i="1"/>
  <c r="T80" i="1"/>
  <c r="T166" i="1"/>
  <c r="V166" i="1"/>
  <c r="T167" i="1"/>
  <c r="V167" i="1"/>
  <c r="T149" i="1"/>
  <c r="V149" i="1"/>
  <c r="V99" i="1"/>
  <c r="T99" i="1"/>
  <c r="T216" i="1"/>
  <c r="V216" i="1"/>
  <c r="V230" i="1"/>
  <c r="T230" i="1"/>
  <c r="V214" i="1"/>
  <c r="T214" i="1"/>
  <c r="T116" i="1"/>
  <c r="V116" i="1"/>
  <c r="T21" i="1"/>
  <c r="V21" i="1"/>
  <c r="V31" i="1"/>
  <c r="T31" i="1"/>
  <c r="T33" i="1"/>
  <c r="V33" i="1"/>
  <c r="T163" i="1"/>
  <c r="V163" i="1"/>
  <c r="T8" i="1"/>
  <c r="V8" i="1"/>
  <c r="T173" i="1"/>
  <c r="V173" i="1"/>
  <c r="T11" i="1"/>
  <c r="V11" i="1"/>
  <c r="V52" i="1"/>
  <c r="T52" i="1"/>
  <c r="V84" i="1"/>
  <c r="T84" i="1"/>
  <c r="V105" i="1"/>
  <c r="T105" i="1"/>
  <c r="V113" i="1"/>
  <c r="T113" i="1"/>
  <c r="T139" i="1"/>
  <c r="V139" i="1"/>
  <c r="T76" i="1"/>
  <c r="V76" i="1"/>
  <c r="T155" i="1"/>
  <c r="V155" i="1"/>
  <c r="T146" i="1"/>
  <c r="V146" i="1"/>
  <c r="T102" i="1"/>
  <c r="V102" i="1"/>
  <c r="V170" i="1"/>
  <c r="T170" i="1"/>
  <c r="T79" i="1"/>
  <c r="V79" i="1"/>
  <c r="T175" i="1"/>
  <c r="V175" i="1"/>
  <c r="T28" i="1"/>
  <c r="V28" i="1"/>
  <c r="V96" i="1"/>
  <c r="T96" i="1"/>
  <c r="V118" i="1"/>
  <c r="T118" i="1"/>
  <c r="T177" i="1"/>
  <c r="V177" i="1"/>
  <c r="V106" i="1"/>
  <c r="T106" i="1"/>
  <c r="V44" i="1"/>
  <c r="T44" i="1"/>
  <c r="T74" i="1"/>
  <c r="V74" i="1"/>
  <c r="V6" i="1"/>
  <c r="T6" i="1"/>
  <c r="V215" i="1"/>
  <c r="T215" i="1"/>
  <c r="T228" i="1"/>
  <c r="V228" i="1"/>
  <c r="V50" i="1"/>
  <c r="T50" i="1"/>
  <c r="T130" i="1"/>
  <c r="V130" i="1"/>
  <c r="V57" i="1"/>
  <c r="T57" i="1"/>
  <c r="V182" i="1"/>
  <c r="T182" i="1"/>
  <c r="V137" i="1"/>
  <c r="T137" i="1"/>
  <c r="V183" i="1"/>
  <c r="T183" i="1"/>
  <c r="T195" i="1"/>
  <c r="V195" i="1"/>
  <c r="T188" i="1"/>
  <c r="V188" i="1"/>
  <c r="T145" i="1"/>
  <c r="V145" i="1"/>
  <c r="V186" i="1"/>
  <c r="T186" i="1"/>
  <c r="V140" i="1"/>
  <c r="T140" i="1"/>
  <c r="T29" i="1"/>
  <c r="V29" i="1"/>
  <c r="T222" i="1"/>
  <c r="V222" i="1"/>
  <c r="T133" i="1"/>
  <c r="V133" i="1"/>
  <c r="V61" i="1"/>
  <c r="T61" i="1"/>
  <c r="T97" i="1"/>
  <c r="V97" i="1"/>
  <c r="V104" i="1"/>
  <c r="T104" i="1"/>
  <c r="V124" i="1"/>
  <c r="T124" i="1"/>
  <c r="T204" i="1"/>
  <c r="V204" i="1"/>
  <c r="T108" i="1"/>
  <c r="V108" i="1"/>
  <c r="T65" i="1"/>
  <c r="V65" i="1"/>
  <c r="V135" i="1"/>
  <c r="T135" i="1"/>
  <c r="V119" i="1"/>
  <c r="T119" i="1"/>
  <c r="V30" i="1"/>
  <c r="T30" i="1"/>
  <c r="T128" i="1"/>
  <c r="V128" i="1"/>
  <c r="V120" i="1"/>
  <c r="T120" i="1"/>
  <c r="V117" i="1"/>
  <c r="T117" i="1"/>
  <c r="T94" i="1"/>
  <c r="V94" i="1"/>
  <c r="V38" i="1"/>
  <c r="T38" i="1"/>
  <c r="V198" i="1"/>
  <c r="T198" i="1"/>
  <c r="T181" i="1"/>
  <c r="V181" i="1"/>
  <c r="V91" i="1"/>
  <c r="T91" i="1"/>
  <c r="V211" i="1"/>
  <c r="T211" i="1"/>
  <c r="T221" i="1"/>
  <c r="V221" i="1"/>
  <c r="I150" i="1"/>
  <c r="K249" i="7"/>
  <c r="R249" i="7" s="1"/>
  <c r="I215" i="1"/>
  <c r="K329" i="7"/>
  <c r="R329" i="7" s="1"/>
  <c r="I29" i="1"/>
  <c r="K77" i="7"/>
  <c r="R77" i="7" s="1"/>
  <c r="I125" i="1"/>
  <c r="K226" i="7"/>
  <c r="R226" i="7" s="1"/>
  <c r="I41" i="1"/>
  <c r="K90" i="7"/>
  <c r="R90" i="7" s="1"/>
  <c r="I40" i="1"/>
  <c r="K88" i="7"/>
  <c r="R88" i="7" s="1"/>
  <c r="I113" i="1"/>
  <c r="K214" i="7"/>
  <c r="R214" i="7" s="1"/>
  <c r="I126" i="1"/>
  <c r="K227" i="7"/>
  <c r="R227" i="7" s="1"/>
  <c r="I119" i="1"/>
  <c r="K220" i="7"/>
  <c r="R220" i="7" s="1"/>
  <c r="I117" i="1"/>
  <c r="K218" i="7"/>
  <c r="R218" i="7" s="1"/>
  <c r="I80" i="1"/>
  <c r="K145" i="7"/>
  <c r="R145" i="7" s="1"/>
  <c r="I13" i="1"/>
  <c r="K59" i="7"/>
  <c r="R59" i="7" s="1"/>
  <c r="I133" i="1"/>
  <c r="K234" i="7"/>
  <c r="R234" i="7" s="1"/>
  <c r="I144" i="1"/>
  <c r="K244" i="7"/>
  <c r="R244" i="7" s="1"/>
  <c r="I175" i="1"/>
  <c r="K290" i="7"/>
  <c r="R290" i="7" s="1"/>
  <c r="I166" i="1"/>
  <c r="K287" i="7"/>
  <c r="R287" i="7" s="1"/>
  <c r="I30" i="1"/>
  <c r="K78" i="7"/>
  <c r="R78" i="7" s="1"/>
  <c r="I136" i="1"/>
  <c r="K238" i="7"/>
  <c r="R238" i="7" s="1"/>
  <c r="I60" i="1"/>
  <c r="K112" i="7"/>
  <c r="R112" i="7" s="1"/>
  <c r="I158" i="1"/>
  <c r="K257" i="7"/>
  <c r="R257" i="7" s="1"/>
  <c r="I147" i="1"/>
  <c r="K247" i="7"/>
  <c r="R247" i="7" s="1"/>
  <c r="I200" i="1"/>
  <c r="K317" i="7"/>
  <c r="R317" i="7" s="1"/>
  <c r="I79" i="1"/>
  <c r="K144" i="7"/>
  <c r="R144" i="7" s="1"/>
  <c r="I174" i="1"/>
  <c r="K289" i="7"/>
  <c r="R289" i="7" s="1"/>
  <c r="I108" i="1"/>
  <c r="K209" i="7"/>
  <c r="R209" i="7" s="1"/>
  <c r="I42" i="1"/>
  <c r="K91" i="7"/>
  <c r="R91" i="7" s="1"/>
  <c r="I122" i="1"/>
  <c r="K223" i="7"/>
  <c r="R223" i="7" s="1"/>
  <c r="I18" i="1"/>
  <c r="K65" i="7"/>
  <c r="R65" i="7" s="1"/>
  <c r="I54" i="1"/>
  <c r="K106" i="7"/>
  <c r="R106" i="7" s="1"/>
  <c r="I56" i="1"/>
  <c r="K108" i="7"/>
  <c r="R108" i="7" s="1"/>
  <c r="I74" i="1"/>
  <c r="K139" i="7"/>
  <c r="R139" i="7" s="1"/>
  <c r="I14" i="1"/>
  <c r="K60" i="7"/>
  <c r="R60" i="7" s="1"/>
  <c r="I63" i="1"/>
  <c r="K115" i="7"/>
  <c r="R115" i="7" s="1"/>
  <c r="I23" i="1"/>
  <c r="K70" i="7"/>
  <c r="R70" i="7" s="1"/>
  <c r="I55" i="1"/>
  <c r="K107" i="7"/>
  <c r="R107" i="7" s="1"/>
  <c r="I47" i="1"/>
  <c r="K97" i="7"/>
  <c r="R97" i="7" s="1"/>
  <c r="I8" i="1"/>
  <c r="K54" i="7"/>
  <c r="R54" i="7" s="1"/>
  <c r="I50" i="1"/>
  <c r="K100" i="7"/>
  <c r="R100" i="7" s="1"/>
  <c r="I101" i="1"/>
  <c r="K206" i="7"/>
  <c r="R206" i="7" s="1"/>
  <c r="I112" i="1"/>
  <c r="K213" i="7"/>
  <c r="R213" i="7" s="1"/>
  <c r="I11" i="1"/>
  <c r="K57" i="7"/>
  <c r="R57" i="7" s="1"/>
  <c r="I123" i="1"/>
  <c r="K224" i="7"/>
  <c r="R224" i="7" s="1"/>
  <c r="I137" i="1"/>
  <c r="K239" i="7"/>
  <c r="R239" i="7" s="1"/>
  <c r="I142" i="1"/>
  <c r="K243" i="7"/>
  <c r="R243" i="7" s="1"/>
  <c r="I229" i="1"/>
  <c r="K351" i="7"/>
  <c r="R351" i="7" s="1"/>
  <c r="I38" i="1"/>
  <c r="K86" i="7"/>
  <c r="R86" i="7" s="1"/>
  <c r="I87" i="1"/>
  <c r="K152" i="7"/>
  <c r="R152" i="7" s="1"/>
  <c r="I138" i="1"/>
  <c r="K240" i="7"/>
  <c r="R240" i="7" s="1"/>
  <c r="I94" i="1"/>
  <c r="K199" i="7"/>
  <c r="R199" i="7" s="1"/>
  <c r="I32" i="1"/>
  <c r="K80" i="7"/>
  <c r="R80" i="7" s="1"/>
  <c r="I91" i="1"/>
  <c r="K196" i="7"/>
  <c r="R196" i="7" s="1"/>
  <c r="I33" i="1"/>
  <c r="K81" i="7"/>
  <c r="R81" i="7" s="1"/>
  <c r="I183" i="1"/>
  <c r="K298" i="7"/>
  <c r="R298" i="7" s="1"/>
  <c r="I53" i="1"/>
  <c r="K105" i="7"/>
  <c r="R105" i="7" s="1"/>
  <c r="I83" i="1"/>
  <c r="K148" i="7"/>
  <c r="R148" i="7" s="1"/>
  <c r="I177" i="1"/>
  <c r="K292" i="7"/>
  <c r="R292" i="7" s="1"/>
  <c r="I121" i="1"/>
  <c r="K222" i="7"/>
  <c r="R222" i="7" s="1"/>
  <c r="I19" i="1"/>
  <c r="K66" i="7"/>
  <c r="R66" i="7" s="1"/>
  <c r="I25" i="1"/>
  <c r="K72" i="7"/>
  <c r="R72" i="7" s="1"/>
  <c r="I230" i="1"/>
  <c r="K352" i="7"/>
  <c r="R352" i="7" s="1"/>
  <c r="I199" i="1"/>
  <c r="K316" i="7"/>
  <c r="R316" i="7" s="1"/>
  <c r="I31" i="1"/>
  <c r="K79" i="7"/>
  <c r="R79" i="7" s="1"/>
  <c r="I84" i="1"/>
  <c r="K149" i="7"/>
  <c r="R149" i="7" s="1"/>
  <c r="I154" i="1"/>
  <c r="K253" i="7"/>
  <c r="R253" i="7" s="1"/>
  <c r="I182" i="1"/>
  <c r="K297" i="7"/>
  <c r="R297" i="7" s="1"/>
  <c r="I155" i="1"/>
  <c r="K254" i="7"/>
  <c r="R254" i="7" s="1"/>
  <c r="I88" i="1"/>
  <c r="K153" i="7"/>
  <c r="R153" i="7" s="1"/>
  <c r="I118" i="1"/>
  <c r="K219" i="7"/>
  <c r="R219" i="7" s="1"/>
  <c r="I111" i="1"/>
  <c r="K212" i="7"/>
  <c r="R212" i="7" s="1"/>
  <c r="I66" i="1"/>
  <c r="K130" i="7"/>
  <c r="R130" i="7" s="1"/>
  <c r="I114" i="1"/>
  <c r="K215" i="7"/>
  <c r="R215" i="7" s="1"/>
  <c r="I129" i="1"/>
  <c r="K229" i="7"/>
  <c r="R229" i="7" s="1"/>
  <c r="I134" i="1"/>
  <c r="K235" i="7"/>
  <c r="R235" i="7" s="1"/>
  <c r="I16" i="1"/>
  <c r="K63" i="7"/>
  <c r="R63" i="7" s="1"/>
  <c r="I130" i="1"/>
  <c r="K230" i="7"/>
  <c r="R230" i="7" s="1"/>
  <c r="I58" i="1"/>
  <c r="K110" i="7"/>
  <c r="R110" i="7" s="1"/>
  <c r="I216" i="1"/>
  <c r="K330" i="7"/>
  <c r="R330" i="7" s="1"/>
  <c r="I22" i="1"/>
  <c r="K69" i="7"/>
  <c r="R69" i="7" s="1"/>
  <c r="I128" i="1"/>
  <c r="K228" i="7"/>
  <c r="R228" i="7" s="1"/>
  <c r="I52" i="1"/>
  <c r="K102" i="7"/>
  <c r="R102" i="7" s="1"/>
  <c r="I86" i="1"/>
  <c r="K151" i="7"/>
  <c r="R151" i="7" s="1"/>
  <c r="I208" i="1"/>
  <c r="K324" i="7"/>
  <c r="R324" i="7" s="1"/>
  <c r="I7" i="1"/>
  <c r="K53" i="7"/>
  <c r="R53" i="7" s="1"/>
  <c r="I156" i="1"/>
  <c r="K255" i="7"/>
  <c r="R255" i="7" s="1"/>
  <c r="I51" i="1"/>
  <c r="K101" i="7"/>
  <c r="R101" i="7" s="1"/>
  <c r="I12" i="1"/>
  <c r="K58" i="7"/>
  <c r="R58" i="7" s="1"/>
  <c r="I17" i="1"/>
  <c r="K64" i="7"/>
  <c r="R64" i="7" s="1"/>
  <c r="I37" i="1"/>
  <c r="K85" i="7"/>
  <c r="R85" i="7" s="1"/>
  <c r="I43" i="1"/>
  <c r="K92" i="7"/>
  <c r="R92" i="7" s="1"/>
  <c r="I157" i="1"/>
  <c r="K256" i="7"/>
  <c r="R256" i="7" s="1"/>
  <c r="I92" i="1"/>
  <c r="K197" i="7"/>
  <c r="R197" i="7" s="1"/>
  <c r="I10" i="1"/>
  <c r="K56" i="7"/>
  <c r="R56" i="7" s="1"/>
  <c r="I99" i="1"/>
  <c r="K204" i="7"/>
  <c r="R204" i="7" s="1"/>
  <c r="I192" i="1"/>
  <c r="K307" i="7"/>
  <c r="R307" i="7" s="1"/>
  <c r="I28" i="1"/>
  <c r="K76" i="7"/>
  <c r="R76" i="7" s="1"/>
  <c r="I71" i="1"/>
  <c r="K136" i="7"/>
  <c r="R136" i="7" s="1"/>
  <c r="I48" i="1"/>
  <c r="K98" i="7"/>
  <c r="R98" i="7" s="1"/>
  <c r="I109" i="1"/>
  <c r="K210" i="7"/>
  <c r="R210" i="7" s="1"/>
  <c r="I207" i="1"/>
  <c r="K323" i="7"/>
  <c r="R323" i="7" s="1"/>
  <c r="I21" i="1"/>
  <c r="K68" i="7"/>
  <c r="R68" i="7" s="1"/>
  <c r="I24" i="1"/>
  <c r="K71" i="7"/>
  <c r="R71" i="7" s="1"/>
  <c r="I191" i="1"/>
  <c r="K306" i="7"/>
  <c r="R306" i="7" s="1"/>
  <c r="I100" i="1"/>
  <c r="K205" i="7"/>
  <c r="R205" i="7" s="1"/>
  <c r="I15" i="1"/>
  <c r="K62" i="7"/>
  <c r="R62" i="7" s="1"/>
  <c r="I9" i="1"/>
  <c r="K55" i="7"/>
  <c r="R55" i="7" s="1"/>
  <c r="I135" i="1"/>
  <c r="K237" i="7"/>
  <c r="R237" i="7" s="1"/>
  <c r="I173" i="1"/>
  <c r="K288" i="7"/>
  <c r="R288" i="7" s="1"/>
  <c r="I65" i="1"/>
  <c r="K129" i="7"/>
  <c r="R129" i="7" s="1"/>
  <c r="I120" i="1"/>
  <c r="K221" i="7"/>
  <c r="R221" i="7" s="1"/>
  <c r="I27" i="1"/>
  <c r="K75" i="7"/>
  <c r="R75" i="7" s="1"/>
  <c r="I70" i="1"/>
  <c r="K135" i="7"/>
  <c r="R135" i="7" s="1"/>
  <c r="I45" i="1"/>
  <c r="K95" i="7"/>
  <c r="R95" i="7" s="1"/>
  <c r="I82" i="1"/>
  <c r="K147" i="7"/>
  <c r="R147" i="7" s="1"/>
  <c r="I140" i="1"/>
  <c r="K241" i="7"/>
  <c r="R241" i="7" s="1"/>
  <c r="I35" i="1"/>
  <c r="K83" i="7"/>
  <c r="R83" i="7" s="1"/>
  <c r="I149" i="1"/>
  <c r="K248" i="7"/>
  <c r="R248" i="7" s="1"/>
  <c r="I153" i="1"/>
  <c r="K252" i="7"/>
  <c r="R252" i="7" s="1"/>
  <c r="I132" i="1"/>
  <c r="K233" i="7"/>
  <c r="R233" i="7" s="1"/>
  <c r="I20" i="1"/>
  <c r="K67" i="7"/>
  <c r="R67" i="7" s="1"/>
  <c r="I26" i="1"/>
  <c r="K73" i="7"/>
  <c r="R73" i="7" s="1"/>
  <c r="I141" i="1"/>
  <c r="K242" i="7"/>
  <c r="R242" i="7" s="1"/>
  <c r="I62" i="1"/>
  <c r="K113" i="7"/>
  <c r="R113" i="7" s="1"/>
  <c r="I145" i="1"/>
  <c r="K245" i="7"/>
  <c r="R245" i="7" s="1"/>
  <c r="I85" i="1"/>
  <c r="K150" i="7"/>
  <c r="R150" i="7" s="1"/>
  <c r="D35" i="5"/>
  <c r="D36" i="5" s="1"/>
  <c r="K2" i="7" l="1"/>
  <c r="F50" i="5"/>
  <c r="F51" i="5" s="1"/>
  <c r="C50" i="5" l="1"/>
  <c r="C51" i="5" s="1"/>
  <c r="C35" i="5"/>
  <c r="C36" i="5" s="1"/>
  <c r="F35" i="5"/>
  <c r="F36" i="5" s="1"/>
  <c r="F65" i="5"/>
  <c r="F66" i="5" s="1"/>
  <c r="G50" i="5"/>
  <c r="G51" i="5" s="1"/>
  <c r="B24" i="5"/>
  <c r="B25" i="5" s="1"/>
  <c r="D24" i="5"/>
  <c r="D25" i="5" s="1"/>
  <c r="B35" i="5"/>
  <c r="B36" i="5" s="1"/>
  <c r="D50" i="5"/>
  <c r="D51" i="5" s="1"/>
  <c r="E24" i="5"/>
  <c r="E25" i="5" s="1"/>
  <c r="B50" i="5"/>
  <c r="B51" i="5" s="1"/>
  <c r="G24" i="5"/>
  <c r="F24" i="5"/>
  <c r="F25" i="5" s="1"/>
  <c r="C24" i="5"/>
  <c r="C25" i="5" s="1"/>
  <c r="U23" i="24"/>
  <c r="U24" i="24" s="1"/>
  <c r="P152" i="7"/>
  <c r="N160" i="33" s="1"/>
  <c r="V19" i="24"/>
  <c r="V23" i="24" s="1"/>
  <c r="H88" i="10" s="1"/>
  <c r="V24" i="24" l="1"/>
  <c r="P135" i="7"/>
  <c r="B33" i="23" l="1"/>
  <c r="B34" i="23" s="1"/>
  <c r="E80" i="23" s="1"/>
  <c r="N143" i="33"/>
  <c r="E48" i="23"/>
  <c r="R42" i="23" s="1"/>
  <c r="H140" i="11"/>
  <c r="U224" i="1" s="1"/>
  <c r="H80" i="23"/>
  <c r="E64" i="23"/>
  <c r="E32" i="23"/>
  <c r="H75" i="10" s="1"/>
  <c r="U73" i="1" s="1"/>
  <c r="E19" i="23"/>
  <c r="R12" i="23" s="1"/>
  <c r="H19" i="10"/>
  <c r="P346" i="7" l="1"/>
  <c r="V224" i="1"/>
  <c r="P138" i="7"/>
  <c r="V73" i="1"/>
  <c r="H48" i="23"/>
  <c r="H26" i="11"/>
  <c r="H91" i="11"/>
  <c r="U176" i="1" s="1"/>
  <c r="V176" i="1" s="1"/>
  <c r="R74" i="23"/>
  <c r="R58" i="23"/>
  <c r="H64" i="23"/>
  <c r="U111" i="1"/>
  <c r="V111" i="1" s="1"/>
  <c r="H32" i="23"/>
  <c r="H19" i="23"/>
  <c r="U18" i="1"/>
  <c r="V18" i="1" s="1"/>
  <c r="H1" i="10"/>
  <c r="E33" i="23" l="1"/>
  <c r="E34" i="23" s="1"/>
  <c r="N146" i="33"/>
  <c r="E81" i="23"/>
  <c r="E82" i="23" s="1"/>
  <c r="N373" i="33"/>
  <c r="H83" i="23"/>
  <c r="H1" i="11"/>
  <c r="P291" i="7"/>
  <c r="P212" i="7"/>
  <c r="P65" i="7"/>
  <c r="N65" i="33" s="1"/>
  <c r="U1" i="1"/>
  <c r="R2" i="7" s="1"/>
  <c r="E49" i="23" l="1"/>
  <c r="E50" i="23" s="1"/>
  <c r="N224" i="33"/>
  <c r="E65" i="23"/>
  <c r="E66" i="23" s="1"/>
  <c r="N314" i="33"/>
  <c r="E20" i="23"/>
  <c r="E21" i="23" s="1"/>
  <c r="P2" i="7"/>
  <c r="E58" i="3"/>
  <c r="E55" i="3"/>
  <c r="E54" i="3"/>
  <c r="E53" i="3"/>
  <c r="E45" i="3"/>
  <c r="E42" i="3"/>
  <c r="E41" i="3"/>
  <c r="E40" i="3"/>
  <c r="E22" i="3"/>
  <c r="E18" i="3"/>
  <c r="E17" i="3"/>
  <c r="E16" i="3"/>
  <c r="E15" i="3"/>
  <c r="E14" i="3"/>
  <c r="E60" i="5"/>
  <c r="E57" i="5"/>
  <c r="E56" i="5"/>
  <c r="E55" i="5"/>
  <c r="E45" i="5"/>
  <c r="E42" i="5"/>
  <c r="E41" i="5"/>
  <c r="E40" i="5"/>
  <c r="E20" i="5"/>
  <c r="E18" i="5"/>
  <c r="E17" i="5"/>
  <c r="E16" i="5"/>
  <c r="E15" i="5"/>
  <c r="E14" i="5"/>
  <c r="E62" i="12"/>
  <c r="E61" i="12"/>
  <c r="E59" i="12"/>
  <c r="E56" i="12"/>
  <c r="E46" i="12"/>
  <c r="E45" i="12"/>
  <c r="E43" i="12"/>
  <c r="E40" i="12"/>
  <c r="E19" i="12"/>
  <c r="E18" i="12"/>
  <c r="E16" i="12"/>
  <c r="E15" i="12"/>
  <c r="E14" i="12"/>
  <c r="E13" i="12"/>
  <c r="E12" i="12"/>
  <c r="E72" i="21"/>
  <c r="E62" i="21"/>
  <c r="E61" i="21"/>
  <c r="E59" i="21"/>
  <c r="E56" i="21"/>
  <c r="E46" i="21"/>
  <c r="E45" i="21"/>
  <c r="E43" i="21"/>
  <c r="E40" i="21"/>
  <c r="E19" i="21"/>
  <c r="E18" i="21"/>
  <c r="E16" i="21"/>
  <c r="E15" i="21"/>
  <c r="E14" i="21"/>
  <c r="E13" i="21"/>
  <c r="E12" i="21"/>
  <c r="E70" i="23"/>
  <c r="E60" i="23"/>
  <c r="E59" i="23"/>
  <c r="E57" i="23"/>
  <c r="E54" i="23"/>
  <c r="E44" i="23"/>
  <c r="E43" i="23"/>
  <c r="E41" i="23"/>
  <c r="E38" i="23"/>
  <c r="E29" i="23"/>
  <c r="E28" i="23"/>
  <c r="E27" i="23"/>
  <c r="E26" i="23"/>
  <c r="E16" i="23"/>
  <c r="E15" i="23"/>
  <c r="E13" i="23"/>
  <c r="E12" i="23"/>
  <c r="N1" i="3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tc={47364B3B-A012-48A0-A3A2-BB82D4BAA36B}</author>
  </authors>
  <commentList>
    <comment ref="N32" authorId="0" shapeId="0" xr:uid="{47364B3B-A012-48A0-A3A2-BB82D4BAA36B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Formula Adjustment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tc={31883E3B-1D6B-434B-ACEB-46909CCDDE23}</author>
  </authors>
  <commentList>
    <comment ref="N32" authorId="0" shapeId="0" xr:uid="{31883E3B-1D6B-434B-ACEB-46909CCDDE23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Formula Adjustment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Emily Johnson</author>
  </authors>
  <commentList>
    <comment ref="K14" authorId="0" shapeId="0" xr:uid="{97DE5BAF-2DE2-4CAA-83C9-4E27D522E89B}">
      <text>
        <r>
          <rPr>
            <b/>
            <sz val="9"/>
            <color indexed="81"/>
            <rFont val="Tahoma"/>
            <family val="2"/>
          </rPr>
          <t>Emily Johnson:
Based on average hours of 3 years at 8064 with a hourly wage of 24.13 which is 23.54+2.5% COLA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0" authorId="0" shapeId="0" xr:uid="{E86097A6-1A90-4E89-92BA-C1945AFE2B44}">
      <text>
        <r>
          <rPr>
            <b/>
            <sz val="9"/>
            <color indexed="81"/>
            <rFont val="Tahoma"/>
            <family val="2"/>
          </rPr>
          <t>Emily Johnson:</t>
        </r>
        <r>
          <rPr>
            <sz val="9"/>
            <color indexed="81"/>
            <rFont val="Tahoma"/>
            <family val="2"/>
          </rPr>
          <t xml:space="preserve">
Based on 3 year average 2024 through 2026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Emily Johnson</author>
    <author>Aubree Lincoln</author>
  </authors>
  <commentList>
    <comment ref="H6" authorId="0" shapeId="0" xr:uid="{4C7107BB-05E7-4FE2-958E-F56349764D0C}">
      <text>
        <r>
          <rPr>
            <b/>
            <sz val="9"/>
            <color indexed="81"/>
            <rFont val="Tahoma"/>
            <family val="2"/>
          </rPr>
          <t>Emily Johnson:</t>
        </r>
        <r>
          <rPr>
            <sz val="9"/>
            <color indexed="81"/>
            <rFont val="Tahoma"/>
            <family val="2"/>
          </rPr>
          <t xml:space="preserve">
2026-2027 Market Values and current rate struture</t>
        </r>
      </text>
    </comment>
    <comment ref="H7" authorId="0" shapeId="0" xr:uid="{E275B62E-6A1E-4968-90B5-0E933BA4AB34}">
      <text>
        <r>
          <rPr>
            <b/>
            <sz val="9"/>
            <color indexed="81"/>
            <rFont val="Tahoma"/>
            <family val="2"/>
          </rPr>
          <t>Emily Johnson:</t>
        </r>
        <r>
          <rPr>
            <sz val="9"/>
            <color indexed="81"/>
            <rFont val="Tahoma"/>
            <family val="2"/>
          </rPr>
          <t xml:space="preserve">
2027 EMS Grant $3605
2025 FEMA awarded in 2027 $51,645
</t>
        </r>
      </text>
    </comment>
    <comment ref="H8" authorId="0" shapeId="0" xr:uid="{716F7211-AA71-4EDC-AF7A-99262F67B6B6}">
      <text>
        <r>
          <rPr>
            <b/>
            <sz val="9"/>
            <color indexed="81"/>
            <rFont val="Tahoma"/>
            <family val="2"/>
          </rPr>
          <t>Emily Johnson:</t>
        </r>
        <r>
          <rPr>
            <sz val="9"/>
            <color indexed="81"/>
            <rFont val="Tahoma"/>
            <family val="2"/>
          </rPr>
          <t xml:space="preserve">
4 yr actual average
</t>
        </r>
      </text>
    </comment>
    <comment ref="H12" authorId="0" shapeId="0" xr:uid="{030463A1-78D0-4691-B2DA-8F2BE92E37BF}">
      <text>
        <r>
          <rPr>
            <b/>
            <sz val="9"/>
            <color indexed="81"/>
            <rFont val="Tahoma"/>
            <family val="2"/>
          </rPr>
          <t>Emily Johnson:</t>
        </r>
        <r>
          <rPr>
            <sz val="9"/>
            <color indexed="81"/>
            <rFont val="Tahoma"/>
            <family val="2"/>
          </rPr>
          <t xml:space="preserve">
Based on 3.89 365 day return rate</t>
        </r>
      </text>
    </comment>
    <comment ref="H14" authorId="0" shapeId="0" xr:uid="{41B3B4E5-1A3A-41ED-9244-9AC33CAF699F}">
      <text>
        <r>
          <rPr>
            <b/>
            <sz val="9"/>
            <color indexed="81"/>
            <rFont val="Tahoma"/>
            <family val="2"/>
          </rPr>
          <t>Emily Johnson:</t>
        </r>
        <r>
          <rPr>
            <sz val="9"/>
            <color indexed="81"/>
            <rFont val="Tahoma"/>
            <family val="2"/>
          </rPr>
          <t xml:space="preserve">
Chief Marsella is working on 2027 contract, pending final copy.  This number may change. </t>
        </r>
      </text>
    </comment>
    <comment ref="C25" authorId="1" shapeId="0" xr:uid="{B50416F1-4A9F-406F-911C-FC2CAE69448D}">
      <text>
        <r>
          <rPr>
            <b/>
            <sz val="9"/>
            <color indexed="81"/>
            <rFont val="Tahoma"/>
            <family val="2"/>
          </rPr>
          <t>Aubree Lincoln:</t>
        </r>
        <r>
          <rPr>
            <sz val="9"/>
            <color indexed="81"/>
            <rFont val="Tahoma"/>
            <family val="2"/>
          </rPr>
          <t xml:space="preserve">
over already 6355.33,
not sure what else chief will need to buy the rest of year so put in a buffer. </t>
        </r>
      </text>
    </comment>
    <comment ref="C44" authorId="1" shapeId="0" xr:uid="{E0824ADF-B753-40FB-B03D-EC5668D1EDE9}">
      <text>
        <r>
          <rPr>
            <b/>
            <sz val="9"/>
            <color indexed="81"/>
            <rFont val="Tahoma"/>
            <family val="2"/>
          </rPr>
          <t>Aubree Lincoln:</t>
        </r>
        <r>
          <rPr>
            <sz val="9"/>
            <color indexed="81"/>
            <rFont val="Tahoma"/>
            <family val="2"/>
          </rPr>
          <t xml:space="preserve">
very slight increase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<sst xmlns="http://schemas.openxmlformats.org/spreadsheetml/2006/main" count="9715" uniqueCount="1260">
  <si>
    <t>2024 Amended</t>
  </si>
  <si>
    <t>Actual</t>
  </si>
  <si>
    <t>Estimate</t>
  </si>
  <si>
    <t>Budget</t>
  </si>
  <si>
    <t>Groupin Code</t>
  </si>
  <si>
    <t>Operating Revenues:</t>
  </si>
  <si>
    <t>Charges for services</t>
  </si>
  <si>
    <t>Miscellaneous revenue</t>
  </si>
  <si>
    <t>Operating Expenses:</t>
  </si>
  <si>
    <t>Salaries and Benefits</t>
  </si>
  <si>
    <t>General and Administrative</t>
  </si>
  <si>
    <t>Repairs and Maintenance</t>
  </si>
  <si>
    <t>Depreciation and Amortization</t>
  </si>
  <si>
    <t>Bad Debt</t>
  </si>
  <si>
    <t>Total operating expenses</t>
  </si>
  <si>
    <t>Operating income</t>
  </si>
  <si>
    <t>Nonoperating Revenues (Expenses)</t>
  </si>
  <si>
    <t>Property Taxes</t>
  </si>
  <si>
    <t>Donations</t>
  </si>
  <si>
    <t>Interest income</t>
  </si>
  <si>
    <t>Grant revenue</t>
  </si>
  <si>
    <t>Gain (loss) on the disposal of capital assets</t>
  </si>
  <si>
    <t>Capital outlay</t>
  </si>
  <si>
    <t>Interest Expense</t>
  </si>
  <si>
    <t>Total nonoperating revenue (expense)</t>
  </si>
  <si>
    <t>Additions (reductions) in net position</t>
  </si>
  <si>
    <t>Debt Service (principal payments)</t>
  </si>
  <si>
    <t>Total debt service and capital outlay</t>
  </si>
  <si>
    <t>Total net change</t>
  </si>
  <si>
    <t>Amount transferred (To)/From reserves</t>
  </si>
  <si>
    <t>Budget Balance</t>
  </si>
  <si>
    <t>Leases</t>
  </si>
  <si>
    <t>Fire</t>
  </si>
  <si>
    <t>Water</t>
  </si>
  <si>
    <t>Sewer</t>
  </si>
  <si>
    <t>Public Works</t>
  </si>
  <si>
    <t>2018 Adopted</t>
  </si>
  <si>
    <t>2018 Amended</t>
  </si>
  <si>
    <t>2017 Actual</t>
  </si>
  <si>
    <t>Fire/EMS</t>
  </si>
  <si>
    <t>Garbage</t>
  </si>
  <si>
    <t>Total</t>
  </si>
  <si>
    <t>Adopted</t>
  </si>
  <si>
    <t>Depreciation</t>
  </si>
  <si>
    <t>Account</t>
  </si>
  <si>
    <t>Description</t>
  </si>
  <si>
    <t>Fund</t>
  </si>
  <si>
    <t>Type</t>
  </si>
  <si>
    <t>10-10000</t>
  </si>
  <si>
    <t>Cash Combined Fund</t>
  </si>
  <si>
    <t>A</t>
  </si>
  <si>
    <t>10-10400</t>
  </si>
  <si>
    <t>Petty Cash</t>
  </si>
  <si>
    <t>10-11500</t>
  </si>
  <si>
    <t>Accounts Receivable</t>
  </si>
  <si>
    <t>10-14300</t>
  </si>
  <si>
    <t>Prepaid Expenses</t>
  </si>
  <si>
    <t>10-16000</t>
  </si>
  <si>
    <t>Administrative Equipment</t>
  </si>
  <si>
    <t>10-16005</t>
  </si>
  <si>
    <t>Land</t>
  </si>
  <si>
    <t>10-16900</t>
  </si>
  <si>
    <t>Accumulated Depreciation DC</t>
  </si>
  <si>
    <t>10-17000</t>
  </si>
  <si>
    <t>Net Pension Asset</t>
  </si>
  <si>
    <t>10-17010</t>
  </si>
  <si>
    <t>Deferred Outflows - Pensions</t>
  </si>
  <si>
    <t>10-19000</t>
  </si>
  <si>
    <t>Suspense</t>
  </si>
  <si>
    <t>10-21100</t>
  </si>
  <si>
    <t>Accounts Payable</t>
  </si>
  <si>
    <t>L</t>
  </si>
  <si>
    <t>10-22200</t>
  </si>
  <si>
    <t>Salaries &amp; Wages Payable</t>
  </si>
  <si>
    <t>10-22210</t>
  </si>
  <si>
    <t>Payroll Liabilities - Taxes</t>
  </si>
  <si>
    <t>10-22500</t>
  </si>
  <si>
    <t>Payroll Liabilities - Ret</t>
  </si>
  <si>
    <t>10-22510</t>
  </si>
  <si>
    <t>Net Pension Liability</t>
  </si>
  <si>
    <t>10-22520</t>
  </si>
  <si>
    <t>Deferred Inflows - Pensions</t>
  </si>
  <si>
    <t>10-22600</t>
  </si>
  <si>
    <t>Payroll Liabilities - Benefits</t>
  </si>
  <si>
    <t>10-22700</t>
  </si>
  <si>
    <t>Payroll Liabilities - WC</t>
  </si>
  <si>
    <t>10-22800</t>
  </si>
  <si>
    <t>Payroll Liabilities - Flex/LTD</t>
  </si>
  <si>
    <t>10-25100</t>
  </si>
  <si>
    <t>Accrued Vacation</t>
  </si>
  <si>
    <t>10-25150</t>
  </si>
  <si>
    <t>Accrued Sick Pay</t>
  </si>
  <si>
    <t>10-29100</t>
  </si>
  <si>
    <t>Fund Balance - DC</t>
  </si>
  <si>
    <t>F</t>
  </si>
  <si>
    <t>10-30-965</t>
  </si>
  <si>
    <t>Recovery on bad debt</t>
  </si>
  <si>
    <t>R</t>
  </si>
  <si>
    <t>10-30-970</t>
  </si>
  <si>
    <t>Other Income</t>
  </si>
  <si>
    <t>10-41-100</t>
  </si>
  <si>
    <t>Salaries &amp; Wages</t>
  </si>
  <si>
    <t>E</t>
  </si>
  <si>
    <t>10-41-150</t>
  </si>
  <si>
    <t>Payroll Taxes</t>
  </si>
  <si>
    <t>10-41-155</t>
  </si>
  <si>
    <t>Retirement</t>
  </si>
  <si>
    <t>10-41-160</t>
  </si>
  <si>
    <t>Medical, LTD, Life, AD&amp;D</t>
  </si>
  <si>
    <t>10-41-165</t>
  </si>
  <si>
    <t>Worker's Compensation</t>
  </si>
  <si>
    <t>10-41-170</t>
  </si>
  <si>
    <t>Vacation/Sick/Holiday</t>
  </si>
  <si>
    <t>10-41-175</t>
  </si>
  <si>
    <t>Flex Plan</t>
  </si>
  <si>
    <t>10-41-180</t>
  </si>
  <si>
    <t>Birthday Cards</t>
  </si>
  <si>
    <t>10-41-200</t>
  </si>
  <si>
    <t>Office Supplies</t>
  </si>
  <si>
    <t>10-41-225</t>
  </si>
  <si>
    <t>Dues &amp; Subscriptions</t>
  </si>
  <si>
    <t>10-41-230</t>
  </si>
  <si>
    <t>Postage &amp; Shipping</t>
  </si>
  <si>
    <t>10-41-300</t>
  </si>
  <si>
    <t>Accounting Services</t>
  </si>
  <si>
    <t>10-41-305</t>
  </si>
  <si>
    <t>IT Services</t>
  </si>
  <si>
    <t>10-41-310</t>
  </si>
  <si>
    <t>Accounting Software</t>
  </si>
  <si>
    <t>10-41-315</t>
  </si>
  <si>
    <t>Engineering Services</t>
  </si>
  <si>
    <t>10-41-320</t>
  </si>
  <si>
    <t>Legal Services</t>
  </si>
  <si>
    <t>10-41-326</t>
  </si>
  <si>
    <t>Public and Legal Notices</t>
  </si>
  <si>
    <t>10-41-340</t>
  </si>
  <si>
    <t>Telephone, Internet, Cable</t>
  </si>
  <si>
    <t>10-41-345</t>
  </si>
  <si>
    <t>Propane &amp; Wood Chips</t>
  </si>
  <si>
    <t>10-41-350</t>
  </si>
  <si>
    <t>Liability, Auto Ins, Bonds</t>
  </si>
  <si>
    <t>10-41-515</t>
  </si>
  <si>
    <t>Facility Maintenance/Upkeep</t>
  </si>
  <si>
    <t>10-41-520</t>
  </si>
  <si>
    <t>Cleaning</t>
  </si>
  <si>
    <t>10-41-525</t>
  </si>
  <si>
    <t>Landscaping/Grounds Maint</t>
  </si>
  <si>
    <t>10-41-530</t>
  </si>
  <si>
    <t>Snow Removal</t>
  </si>
  <si>
    <t>10-41-610</t>
  </si>
  <si>
    <t>Interest and Late Fees Paid</t>
  </si>
  <si>
    <t>10-41-625</t>
  </si>
  <si>
    <t>Bank Fees</t>
  </si>
  <si>
    <t>10-41-630</t>
  </si>
  <si>
    <t>Credit Card Processing Fees</t>
  </si>
  <si>
    <t>10-41-640</t>
  </si>
  <si>
    <t>Travel, Meals &amp; Training</t>
  </si>
  <si>
    <t>10-41-655</t>
  </si>
  <si>
    <t>Collections Expense</t>
  </si>
  <si>
    <t>10-41-800</t>
  </si>
  <si>
    <t>Depreciation - DC</t>
  </si>
  <si>
    <t>10-41-940</t>
  </si>
  <si>
    <t>Computer &amp; Office Equipment</t>
  </si>
  <si>
    <t>10-41-985</t>
  </si>
  <si>
    <t>Loss on Disposal of Fix Asset</t>
  </si>
  <si>
    <t>20-10000</t>
  </si>
  <si>
    <t>20-10400</t>
  </si>
  <si>
    <t>20-10500</t>
  </si>
  <si>
    <t>Restricted Cash Clearing</t>
  </si>
  <si>
    <t>20-10610</t>
  </si>
  <si>
    <t>0348 PTIF Fire Reserve</t>
  </si>
  <si>
    <t>20-10611</t>
  </si>
  <si>
    <t>8554 PTIF Hazmat Reserve</t>
  </si>
  <si>
    <t>20-10612</t>
  </si>
  <si>
    <t>0348 PTIF Fire Reserve DUE2WL</t>
  </si>
  <si>
    <t>20-11500</t>
  </si>
  <si>
    <t>20-11520</t>
  </si>
  <si>
    <t>Property Tax Receivable</t>
  </si>
  <si>
    <t>20-11570</t>
  </si>
  <si>
    <t>Allow for Doubtful Accts</t>
  </si>
  <si>
    <t>20-14300</t>
  </si>
  <si>
    <t>20-16000</t>
  </si>
  <si>
    <t>20-16005</t>
  </si>
  <si>
    <t>20-16010</t>
  </si>
  <si>
    <t>Fire Equipment</t>
  </si>
  <si>
    <t>20-16020</t>
  </si>
  <si>
    <t>Vehicles</t>
  </si>
  <si>
    <t>20-16030</t>
  </si>
  <si>
    <t>Fire Station</t>
  </si>
  <si>
    <t>20-16035</t>
  </si>
  <si>
    <t>UDOT Hazmat Carport</t>
  </si>
  <si>
    <t>20-16040</t>
  </si>
  <si>
    <t>UDOT Station 2</t>
  </si>
  <si>
    <t>20-16100</t>
  </si>
  <si>
    <t>Fixed Assets</t>
  </si>
  <si>
    <t>20-16600</t>
  </si>
  <si>
    <t>Construction in Progress</t>
  </si>
  <si>
    <t>20-16900</t>
  </si>
  <si>
    <t>Accumulated Depreciation</t>
  </si>
  <si>
    <t>20-17000</t>
  </si>
  <si>
    <t>20-17010</t>
  </si>
  <si>
    <t>Deferred Outflows-Pensions</t>
  </si>
  <si>
    <t>20-19000</t>
  </si>
  <si>
    <t>20-21100</t>
  </si>
  <si>
    <t>20-21150</t>
  </si>
  <si>
    <t>Construction Retention Payable</t>
  </si>
  <si>
    <t>20-22200</t>
  </si>
  <si>
    <t>20-22210</t>
  </si>
  <si>
    <t>Payroll Taxes Payable</t>
  </si>
  <si>
    <t>20-22500</t>
  </si>
  <si>
    <t>Retirement Payable</t>
  </si>
  <si>
    <t>20-22510</t>
  </si>
  <si>
    <t>20-22520</t>
  </si>
  <si>
    <t>Deferred Inflows-Pensions</t>
  </si>
  <si>
    <t>20-22600</t>
  </si>
  <si>
    <t>Payroll Benefits Payable</t>
  </si>
  <si>
    <t>20-22700</t>
  </si>
  <si>
    <t>Worker's Comp Payable</t>
  </si>
  <si>
    <t>20-22800</t>
  </si>
  <si>
    <t>Flex/LTD Payable</t>
  </si>
  <si>
    <t>20-23000</t>
  </si>
  <si>
    <t>Unearned Revenue</t>
  </si>
  <si>
    <t>20-25100</t>
  </si>
  <si>
    <t>20-25125</t>
  </si>
  <si>
    <t>Compensated Absences Noncurren</t>
  </si>
  <si>
    <t>20-25150</t>
  </si>
  <si>
    <t>20-28000</t>
  </si>
  <si>
    <t>Accrued Interest Payable</t>
  </si>
  <si>
    <t>20-28510</t>
  </si>
  <si>
    <t>Zions Bank - Station 2 Note</t>
  </si>
  <si>
    <t>20-28511</t>
  </si>
  <si>
    <t>Note Current Portion</t>
  </si>
  <si>
    <t>20-28520</t>
  </si>
  <si>
    <t>Oshkosh Capital - Fire Tender</t>
  </si>
  <si>
    <t>20-28521</t>
  </si>
  <si>
    <t>Lease Current Portion</t>
  </si>
  <si>
    <t>20-28550</t>
  </si>
  <si>
    <t>Hinklease Truck Lease</t>
  </si>
  <si>
    <t>20-28551</t>
  </si>
  <si>
    <t>20-28560</t>
  </si>
  <si>
    <t>Station Expansion Bond</t>
  </si>
  <si>
    <t>20-28561</t>
  </si>
  <si>
    <t>Station Bond Current Portion</t>
  </si>
  <si>
    <t>20-28570</t>
  </si>
  <si>
    <t>Ambulance Lease</t>
  </si>
  <si>
    <t>20-29100</t>
  </si>
  <si>
    <t>Fund Balance</t>
  </si>
  <si>
    <t>20-30-200</t>
  </si>
  <si>
    <t>Fire Response</t>
  </si>
  <si>
    <t>20-30-400</t>
  </si>
  <si>
    <t>Fire Fees</t>
  </si>
  <si>
    <t>20-30-410</t>
  </si>
  <si>
    <t>Fire/EMS Grants</t>
  </si>
  <si>
    <t>20-30-425</t>
  </si>
  <si>
    <t>Ambulance Income</t>
  </si>
  <si>
    <t>20-30-470</t>
  </si>
  <si>
    <t>Interest &amp; Finance Charges</t>
  </si>
  <si>
    <t>20-30-475</t>
  </si>
  <si>
    <t>20-30-500</t>
  </si>
  <si>
    <t>Property Tax Income</t>
  </si>
  <si>
    <t>20-30-505</t>
  </si>
  <si>
    <t>Interest on Investments</t>
  </si>
  <si>
    <t>20-30-510</t>
  </si>
  <si>
    <t>Donations and Fund Raising</t>
  </si>
  <si>
    <t>20-30-520</t>
  </si>
  <si>
    <t>Contract Fees-Utah County</t>
  </si>
  <si>
    <t>20-30-525</t>
  </si>
  <si>
    <t>Transfer from Capital Reserves</t>
  </si>
  <si>
    <t>20-45-600</t>
  </si>
  <si>
    <t>20-45-601</t>
  </si>
  <si>
    <t>20-45-602</t>
  </si>
  <si>
    <t>20-45-603</t>
  </si>
  <si>
    <t>20-45-604</t>
  </si>
  <si>
    <t>20-45-607</t>
  </si>
  <si>
    <t>20-45-608</t>
  </si>
  <si>
    <t>20-45-609</t>
  </si>
  <si>
    <t>Employee/Vol Incentives</t>
  </si>
  <si>
    <t>20-45-610</t>
  </si>
  <si>
    <t>Other Benefits</t>
  </si>
  <si>
    <t>20-45-612</t>
  </si>
  <si>
    <t>Equipment &amp; Supplies</t>
  </si>
  <si>
    <t>20-45-614</t>
  </si>
  <si>
    <t>Medical Supplies and Equipment</t>
  </si>
  <si>
    <t>20-45-615</t>
  </si>
  <si>
    <t>20-45-618</t>
  </si>
  <si>
    <t>20-45-619</t>
  </si>
  <si>
    <t>20-45-620</t>
  </si>
  <si>
    <t>Software</t>
  </si>
  <si>
    <t>20-45-621</t>
  </si>
  <si>
    <t>20-45-622</t>
  </si>
  <si>
    <t>20-45-623</t>
  </si>
  <si>
    <t>Advertising</t>
  </si>
  <si>
    <t>20-45-624</t>
  </si>
  <si>
    <t>Electricity Station 2</t>
  </si>
  <si>
    <t>20-45-625</t>
  </si>
  <si>
    <t>Special Studies</t>
  </si>
  <si>
    <t>20-45-629</t>
  </si>
  <si>
    <t>Utilities-Communications</t>
  </si>
  <si>
    <t>20-45-630</t>
  </si>
  <si>
    <t>Telephone</t>
  </si>
  <si>
    <t>20-45-632</t>
  </si>
  <si>
    <t>Propane Station 2</t>
  </si>
  <si>
    <t>20-45-635</t>
  </si>
  <si>
    <t>Insurance</t>
  </si>
  <si>
    <t>20-45-636</t>
  </si>
  <si>
    <t>Rent</t>
  </si>
  <si>
    <t>20-45-638</t>
  </si>
  <si>
    <t>Repairs/ Maintenance</t>
  </si>
  <si>
    <t>20-45-654</t>
  </si>
  <si>
    <t>Vehicles Repairs &amp; Maint</t>
  </si>
  <si>
    <t>20-45-658</t>
  </si>
  <si>
    <t>Vehicle Fuel</t>
  </si>
  <si>
    <t>20-45-659</t>
  </si>
  <si>
    <t>Building Maintenance</t>
  </si>
  <si>
    <t>20-45-664</t>
  </si>
  <si>
    <t>Bad Debt Expense</t>
  </si>
  <si>
    <t>20-45-666</t>
  </si>
  <si>
    <t>Station 2 Lease</t>
  </si>
  <si>
    <t>20-45-669</t>
  </si>
  <si>
    <t>Fire Trucks Leases</t>
  </si>
  <si>
    <t>20-45-670</t>
  </si>
  <si>
    <t>20-45-671</t>
  </si>
  <si>
    <t>Truck Lease</t>
  </si>
  <si>
    <t>20-45-672</t>
  </si>
  <si>
    <t>20-45-674</t>
  </si>
  <si>
    <t>Bond Interst Expense</t>
  </si>
  <si>
    <t>20-45-675</t>
  </si>
  <si>
    <t>Bank &amp; Service Fees</t>
  </si>
  <si>
    <t>20-45-677</t>
  </si>
  <si>
    <t>Travel/Conf/Meals</t>
  </si>
  <si>
    <t>20-45-681</t>
  </si>
  <si>
    <t>Training</t>
  </si>
  <si>
    <t>20-45-682</t>
  </si>
  <si>
    <t>Grant Recruitment/Retention</t>
  </si>
  <si>
    <t>20-45-683</t>
  </si>
  <si>
    <t>License &amp; Certification</t>
  </si>
  <si>
    <t>20-45-685</t>
  </si>
  <si>
    <t>Fund Raising</t>
  </si>
  <si>
    <t>20-45-687</t>
  </si>
  <si>
    <t>Evacuation Equip &amp; Supplies</t>
  </si>
  <si>
    <t>20-45-688</t>
  </si>
  <si>
    <t>20-45-690</t>
  </si>
  <si>
    <t>Capital Outaly Fire</t>
  </si>
  <si>
    <t>20-45-691</t>
  </si>
  <si>
    <t>Capital Equipment</t>
  </si>
  <si>
    <t>20-45-693</t>
  </si>
  <si>
    <t>Dont Use-Expired Code</t>
  </si>
  <si>
    <t>20-45-694</t>
  </si>
  <si>
    <t>Clothing &amp; Protective Gear</t>
  </si>
  <si>
    <t>20-45-696</t>
  </si>
  <si>
    <t>Radios &amp; Pagers</t>
  </si>
  <si>
    <t>20-45-697</t>
  </si>
  <si>
    <t>21-10000</t>
  </si>
  <si>
    <t>21-11500</t>
  </si>
  <si>
    <t>21-11570</t>
  </si>
  <si>
    <t>Allow for Doubtful Accts - EMS</t>
  </si>
  <si>
    <t>21-11575</t>
  </si>
  <si>
    <t>Prior Year Write Offs Amb</t>
  </si>
  <si>
    <t>21-16900</t>
  </si>
  <si>
    <t>Accumulated Depreciation EMS</t>
  </si>
  <si>
    <t>21-21100</t>
  </si>
  <si>
    <t>21-22200</t>
  </si>
  <si>
    <t>21-22210</t>
  </si>
  <si>
    <t>21-22500</t>
  </si>
  <si>
    <t>21-22700</t>
  </si>
  <si>
    <t>21-28570</t>
  </si>
  <si>
    <t>21-28571</t>
  </si>
  <si>
    <t>21-29100</t>
  </si>
  <si>
    <t>Fund Balance - EMS</t>
  </si>
  <si>
    <t>21-30-300</t>
  </si>
  <si>
    <t>21-30-600</t>
  </si>
  <si>
    <t>EMS Grants Revenue</t>
  </si>
  <si>
    <t>21-30-960</t>
  </si>
  <si>
    <t>21-30-990</t>
  </si>
  <si>
    <t>21-46-100</t>
  </si>
  <si>
    <t>21-46-150</t>
  </si>
  <si>
    <t>21-46-155</t>
  </si>
  <si>
    <t>21-46-165</t>
  </si>
  <si>
    <t>21-46-210</t>
  </si>
  <si>
    <t>Supplies &amp; Equipment</t>
  </si>
  <si>
    <t>21-46-220</t>
  </si>
  <si>
    <t>Medical Supplies &amp; Equipment</t>
  </si>
  <si>
    <t>21-46-350</t>
  </si>
  <si>
    <t>21-46-455</t>
  </si>
  <si>
    <t>Medicaid Fee</t>
  </si>
  <si>
    <t>21-46-460</t>
  </si>
  <si>
    <t>DOH Assessment</t>
  </si>
  <si>
    <t>21-46-500</t>
  </si>
  <si>
    <t>Vehicles Repairs &amp; Maintenance</t>
  </si>
  <si>
    <t>21-46-505</t>
  </si>
  <si>
    <t>Ambulance Fuel</t>
  </si>
  <si>
    <t>21-46-600</t>
  </si>
  <si>
    <t>Bad Debt Expense - Ambulance</t>
  </si>
  <si>
    <t>21-46-616</t>
  </si>
  <si>
    <t>21-46-655</t>
  </si>
  <si>
    <t>21-46-700</t>
  </si>
  <si>
    <t>21-46-800</t>
  </si>
  <si>
    <t>Depreciation - EMS</t>
  </si>
  <si>
    <t>21-46-950</t>
  </si>
  <si>
    <t>21-46-985</t>
  </si>
  <si>
    <t>21-46-990</t>
  </si>
  <si>
    <t>Transfer to Capital Reserves</t>
  </si>
  <si>
    <t>22-10000</t>
  </si>
  <si>
    <t>22-10612</t>
  </si>
  <si>
    <t>0348 PTIF Fire Resv DUE FROM</t>
  </si>
  <si>
    <t>22-11500</t>
  </si>
  <si>
    <t>22-16010</t>
  </si>
  <si>
    <t>22-16900</t>
  </si>
  <si>
    <t>22-21100</t>
  </si>
  <si>
    <t>22-22200</t>
  </si>
  <si>
    <t>22-22210</t>
  </si>
  <si>
    <t>22-22500</t>
  </si>
  <si>
    <t>22-22700</t>
  </si>
  <si>
    <t>22-22800</t>
  </si>
  <si>
    <t>22-29100</t>
  </si>
  <si>
    <t>22-30-410</t>
  </si>
  <si>
    <t>Wildland Grants</t>
  </si>
  <si>
    <t>22-30-415</t>
  </si>
  <si>
    <t>Wildland Income</t>
  </si>
  <si>
    <t>22-30-420</t>
  </si>
  <si>
    <t>Wildland Mitigation (DONT USE)</t>
  </si>
  <si>
    <t>22-30-475</t>
  </si>
  <si>
    <t>22-30-505</t>
  </si>
  <si>
    <t>22-30-525</t>
  </si>
  <si>
    <t>22-47-600</t>
  </si>
  <si>
    <t>22-47-601</t>
  </si>
  <si>
    <t>22-47-602</t>
  </si>
  <si>
    <t>22-47-604</t>
  </si>
  <si>
    <t>22-47-612</t>
  </si>
  <si>
    <t>22-47-625</t>
  </si>
  <si>
    <t>22-47-635</t>
  </si>
  <si>
    <t>22-47-638</t>
  </si>
  <si>
    <t>Repairs &amp; Maintenance</t>
  </si>
  <si>
    <t>22-47-654</t>
  </si>
  <si>
    <t>22-47-658</t>
  </si>
  <si>
    <t>22-47-677</t>
  </si>
  <si>
    <t>22-47-681</t>
  </si>
  <si>
    <t>22-47-686</t>
  </si>
  <si>
    <t>Mitigation Expense</t>
  </si>
  <si>
    <t>22-47-688</t>
  </si>
  <si>
    <t>22-47-691</t>
  </si>
  <si>
    <t>22-47-692</t>
  </si>
  <si>
    <t>22-47-697</t>
  </si>
  <si>
    <t>50-10000</t>
  </si>
  <si>
    <t>50-11500</t>
  </si>
  <si>
    <t>50-16900</t>
  </si>
  <si>
    <t>50-21100</t>
  </si>
  <si>
    <t>50-22200</t>
  </si>
  <si>
    <t>50-22210</t>
  </si>
  <si>
    <t>50-22500</t>
  </si>
  <si>
    <t>50-22600</t>
  </si>
  <si>
    <t>50-22700</t>
  </si>
  <si>
    <t>50-22800</t>
  </si>
  <si>
    <t>50-25100</t>
  </si>
  <si>
    <t>50-25150</t>
  </si>
  <si>
    <t>50-28000</t>
  </si>
  <si>
    <t>50-28550</t>
  </si>
  <si>
    <t>50-28551</t>
  </si>
  <si>
    <t>50-28555</t>
  </si>
  <si>
    <t>Backhoe Lease DONT USE</t>
  </si>
  <si>
    <t>50-28556</t>
  </si>
  <si>
    <t>50-28570</t>
  </si>
  <si>
    <t>Caterpillar Lease</t>
  </si>
  <si>
    <t>50-28571</t>
  </si>
  <si>
    <t>50-29100</t>
  </si>
  <si>
    <t>Fund Balance - PW</t>
  </si>
  <si>
    <t>50-30-960</t>
  </si>
  <si>
    <t>Interest from Investments</t>
  </si>
  <si>
    <t>50-50-100</t>
  </si>
  <si>
    <t>50-50-150</t>
  </si>
  <si>
    <t>PW Payroll Taxes</t>
  </si>
  <si>
    <t>50-50-155</t>
  </si>
  <si>
    <t>PW Retirement</t>
  </si>
  <si>
    <t>50-50-160</t>
  </si>
  <si>
    <t>PW Medical, LTD, Life, AD&amp;D</t>
  </si>
  <si>
    <t>50-50-165</t>
  </si>
  <si>
    <t>PW Worker's Compensation</t>
  </si>
  <si>
    <t>50-50-170</t>
  </si>
  <si>
    <t>PW Vacation/Sick/Holiday</t>
  </si>
  <si>
    <t>50-50-175</t>
  </si>
  <si>
    <t>PW Flex Plan</t>
  </si>
  <si>
    <t>50-50-190</t>
  </si>
  <si>
    <t>Medical &amp; Drug Testing</t>
  </si>
  <si>
    <t>50-50-210</t>
  </si>
  <si>
    <t>PW Supplies &amp; Equipment</t>
  </si>
  <si>
    <t>50-50-225</t>
  </si>
  <si>
    <t>50-50-340</t>
  </si>
  <si>
    <t>PW Telephone</t>
  </si>
  <si>
    <t>50-50-350</t>
  </si>
  <si>
    <t>50-50-500</t>
  </si>
  <si>
    <t>Truck Maintenance</t>
  </si>
  <si>
    <t>50-50-501</t>
  </si>
  <si>
    <t>Backhoe Parts &amp; Maintenance</t>
  </si>
  <si>
    <t>50-50-505</t>
  </si>
  <si>
    <t>Truck Fuel</t>
  </si>
  <si>
    <t>50-50-506</t>
  </si>
  <si>
    <t>Backhoe Fuel</t>
  </si>
  <si>
    <t>50-50-615</t>
  </si>
  <si>
    <t>Backhoe Lease</t>
  </si>
  <si>
    <t>50-50-616</t>
  </si>
  <si>
    <t>50-50-620</t>
  </si>
  <si>
    <t>50-50-640</t>
  </si>
  <si>
    <t>PW Travel/Conferences/Meals</t>
  </si>
  <si>
    <t>50-50-705</t>
  </si>
  <si>
    <t>Certifications &amp; Training</t>
  </si>
  <si>
    <t>50-50-800</t>
  </si>
  <si>
    <t>Depreciation - PW</t>
  </si>
  <si>
    <t>50-50-940</t>
  </si>
  <si>
    <t>50-50-960</t>
  </si>
  <si>
    <t>50-50-990</t>
  </si>
  <si>
    <t>51-10000</t>
  </si>
  <si>
    <t>51-10620</t>
  </si>
  <si>
    <t>1470 PTIF Water Reserve</t>
  </si>
  <si>
    <t>51-10625</t>
  </si>
  <si>
    <t>Zions Bond Acct 6119963</t>
  </si>
  <si>
    <t>51-10630</t>
  </si>
  <si>
    <t>Zions Bond Res Acct 611963A</t>
  </si>
  <si>
    <t>51-10640</t>
  </si>
  <si>
    <t>Zions Bond Const Acct 6119963B</t>
  </si>
  <si>
    <t>51-10645</t>
  </si>
  <si>
    <t>9007 PTIF 2022 Well</t>
  </si>
  <si>
    <t>51-10646</t>
  </si>
  <si>
    <t>8554 PTIF Water Infilt Syst 24</t>
  </si>
  <si>
    <t>51-11500</t>
  </si>
  <si>
    <t>51-11520</t>
  </si>
  <si>
    <t>Property Tax Recievable</t>
  </si>
  <si>
    <t>51-11550</t>
  </si>
  <si>
    <t>Water Assessment Receivable</t>
  </si>
  <si>
    <t>51-11570</t>
  </si>
  <si>
    <t>Allow for Doubtful Accts-Water</t>
  </si>
  <si>
    <t>51-11575</t>
  </si>
  <si>
    <t>Prior Year Write Offs</t>
  </si>
  <si>
    <t>51-14300</t>
  </si>
  <si>
    <t>51-16020</t>
  </si>
  <si>
    <t>51-16100</t>
  </si>
  <si>
    <t>PW Fixed Assets</t>
  </si>
  <si>
    <t>51-16300</t>
  </si>
  <si>
    <t>Water Rights</t>
  </si>
  <si>
    <t>51-16310</t>
  </si>
  <si>
    <t>Water System</t>
  </si>
  <si>
    <t>51-16320</t>
  </si>
  <si>
    <t>Water Tanks &amp; Well</t>
  </si>
  <si>
    <t>51-16330</t>
  </si>
  <si>
    <t>Water Telemetry System</t>
  </si>
  <si>
    <t>51-16500</t>
  </si>
  <si>
    <t>RUA-Equipment</t>
  </si>
  <si>
    <t>51-16600</t>
  </si>
  <si>
    <t>Construction In Progress</t>
  </si>
  <si>
    <t>51-16900</t>
  </si>
  <si>
    <t>51-21100</t>
  </si>
  <si>
    <t>51-21150</t>
  </si>
  <si>
    <t>51-22200</t>
  </si>
  <si>
    <t>51-22210</t>
  </si>
  <si>
    <t>51-22500</t>
  </si>
  <si>
    <t>51-22600</t>
  </si>
  <si>
    <t>51-22700</t>
  </si>
  <si>
    <t>51-22800</t>
  </si>
  <si>
    <t>51-23000</t>
  </si>
  <si>
    <t>51-25100</t>
  </si>
  <si>
    <t>51-25125</t>
  </si>
  <si>
    <t>51-25150</t>
  </si>
  <si>
    <t>51-28000</t>
  </si>
  <si>
    <t>51-28500</t>
  </si>
  <si>
    <t>GMAC Credit - Water System</t>
  </si>
  <si>
    <t>51-28511</t>
  </si>
  <si>
    <t>51-28521</t>
  </si>
  <si>
    <t>51-28540</t>
  </si>
  <si>
    <t>Bond for Stewart Tank &amp; Well</t>
  </si>
  <si>
    <t>51-28541</t>
  </si>
  <si>
    <t>Bond Current Portion</t>
  </si>
  <si>
    <t>51-28550</t>
  </si>
  <si>
    <t>51-28551</t>
  </si>
  <si>
    <t>51-28555</t>
  </si>
  <si>
    <t>51-28556</t>
  </si>
  <si>
    <t>51-28570</t>
  </si>
  <si>
    <t>Leases Payable</t>
  </si>
  <si>
    <t>51-28571</t>
  </si>
  <si>
    <t>51-29100</t>
  </si>
  <si>
    <t>51-30-410</t>
  </si>
  <si>
    <t>Water Grants</t>
  </si>
  <si>
    <t>51-30-430</t>
  </si>
  <si>
    <t>Water Income</t>
  </si>
  <si>
    <t>51-30-435</t>
  </si>
  <si>
    <t>Water Line Repairs</t>
  </si>
  <si>
    <t>51-30-440</t>
  </si>
  <si>
    <t>Water Stand-by Fee</t>
  </si>
  <si>
    <t>51-30-445</t>
  </si>
  <si>
    <t>Excess Water Usage</t>
  </si>
  <si>
    <t>51-30-446</t>
  </si>
  <si>
    <t>Access Fee</t>
  </si>
  <si>
    <t>51-30-450</t>
  </si>
  <si>
    <t>Meter Fees</t>
  </si>
  <si>
    <t>51-30-455</t>
  </si>
  <si>
    <t>Connection Fee</t>
  </si>
  <si>
    <t>51-30-470</t>
  </si>
  <si>
    <t>51-30-475</t>
  </si>
  <si>
    <t>51-30-500</t>
  </si>
  <si>
    <t>51-30-505</t>
  </si>
  <si>
    <t>51-30-525</t>
  </si>
  <si>
    <t>51-30-970</t>
  </si>
  <si>
    <t>Bond Interest Income</t>
  </si>
  <si>
    <t>51-50-155</t>
  </si>
  <si>
    <t>51-50-160</t>
  </si>
  <si>
    <t>Medical, LTD, Life, AD&amp;D NOUSE</t>
  </si>
  <si>
    <t>51-50-165</t>
  </si>
  <si>
    <t>51-50-170</t>
  </si>
  <si>
    <t>51-50-175</t>
  </si>
  <si>
    <t>51-50-600</t>
  </si>
  <si>
    <t>51-50-601</t>
  </si>
  <si>
    <t>51-50-602</t>
  </si>
  <si>
    <t>51-50-603</t>
  </si>
  <si>
    <t>51-50-604</t>
  </si>
  <si>
    <t>51-50-607</t>
  </si>
  <si>
    <t>51-50-608</t>
  </si>
  <si>
    <t>51-50-609</t>
  </si>
  <si>
    <t>51-50-610</t>
  </si>
  <si>
    <t>51-50-612</t>
  </si>
  <si>
    <t>51-50-615</t>
  </si>
  <si>
    <t>51-50-618</t>
  </si>
  <si>
    <t>51-50-619</t>
  </si>
  <si>
    <t>51-50-620</t>
  </si>
  <si>
    <t>51-50-622</t>
  </si>
  <si>
    <t>51-50-623</t>
  </si>
  <si>
    <t>51-50-625</t>
  </si>
  <si>
    <t>51-50-629</t>
  </si>
  <si>
    <t>51-50-635</t>
  </si>
  <si>
    <t>51-50-654</t>
  </si>
  <si>
    <t>Vehicle Repairs &amp; Maint</t>
  </si>
  <si>
    <t>51-50-658</t>
  </si>
  <si>
    <t>51-50-659</t>
  </si>
  <si>
    <t>51-50-667</t>
  </si>
  <si>
    <t>51-50-671</t>
  </si>
  <si>
    <t>51-50-675</t>
  </si>
  <si>
    <t>Bank &amp; Finance Charges</t>
  </si>
  <si>
    <t>51-50-677</t>
  </si>
  <si>
    <t>51-50-684</t>
  </si>
  <si>
    <t>Certs &amp; Training</t>
  </si>
  <si>
    <t>51-50-690</t>
  </si>
  <si>
    <t>51-50-694</t>
  </si>
  <si>
    <t>51-51-621</t>
  </si>
  <si>
    <t>51-51-622</t>
  </si>
  <si>
    <t>51-51-625</t>
  </si>
  <si>
    <t>Electric Aspen Grove Pumphouse</t>
  </si>
  <si>
    <t>51-51-626</t>
  </si>
  <si>
    <t>Electric Aspen Grove Wet Well</t>
  </si>
  <si>
    <t>51-51-628</t>
  </si>
  <si>
    <t>Electricity Stewart Tank</t>
  </si>
  <si>
    <t>51-51-635</t>
  </si>
  <si>
    <t>51-51-638</t>
  </si>
  <si>
    <t>51-51-640</t>
  </si>
  <si>
    <t>Water Line &amp; Meter Repairs</t>
  </si>
  <si>
    <t>51-51-641</t>
  </si>
  <si>
    <t>Automated Metering System</t>
  </si>
  <si>
    <t>51-51-642</t>
  </si>
  <si>
    <t>Water Tests</t>
  </si>
  <si>
    <t>51-51-644</t>
  </si>
  <si>
    <t>Well Water Treatment</t>
  </si>
  <si>
    <t>51-51-645</t>
  </si>
  <si>
    <t>Water Chemicals</t>
  </si>
  <si>
    <t>51-51-650</t>
  </si>
  <si>
    <t>51-51-651</t>
  </si>
  <si>
    <t>Paying Agent &amp; Trustee Fees</t>
  </si>
  <si>
    <t>51-51-664</t>
  </si>
  <si>
    <t>Bad Debt Expense - Water</t>
  </si>
  <si>
    <t>51-51-668</t>
  </si>
  <si>
    <t>Bond &amp; Debt Payments</t>
  </si>
  <si>
    <t>51-51-674</t>
  </si>
  <si>
    <t>Bond Interest Expense</t>
  </si>
  <si>
    <t>51-51-675</t>
  </si>
  <si>
    <t>51-51-688</t>
  </si>
  <si>
    <t>51-51-690</t>
  </si>
  <si>
    <t>Capital Outlay-New Well Proj</t>
  </si>
  <si>
    <t>51-51-691</t>
  </si>
  <si>
    <t>51-51-692</t>
  </si>
  <si>
    <t>Capital Outlay-Infiltration</t>
  </si>
  <si>
    <t>51-51-694</t>
  </si>
  <si>
    <t>51-51-697</t>
  </si>
  <si>
    <t>52-10000</t>
  </si>
  <si>
    <t>52-10620</t>
  </si>
  <si>
    <t>8818 PTIF WasteWater Reserve</t>
  </si>
  <si>
    <t>52-10621</t>
  </si>
  <si>
    <t>9024 WW Redevel Match Grant</t>
  </si>
  <si>
    <t>52-11500</t>
  </si>
  <si>
    <t>52-11570</t>
  </si>
  <si>
    <t>52-11575</t>
  </si>
  <si>
    <t>52-16020</t>
  </si>
  <si>
    <t>52-16400</t>
  </si>
  <si>
    <t>Wastewater System</t>
  </si>
  <si>
    <t>52-16500</t>
  </si>
  <si>
    <t>RUA Equipment</t>
  </si>
  <si>
    <t>52-16600</t>
  </si>
  <si>
    <t>52-16900</t>
  </si>
  <si>
    <t>52-21100</t>
  </si>
  <si>
    <t>52-21150</t>
  </si>
  <si>
    <t>52-22200</t>
  </si>
  <si>
    <t>52-22210</t>
  </si>
  <si>
    <t>52-22500</t>
  </si>
  <si>
    <t>52-22600</t>
  </si>
  <si>
    <t>52-22700</t>
  </si>
  <si>
    <t>52-22800</t>
  </si>
  <si>
    <t>52-23000</t>
  </si>
  <si>
    <t>52-25100</t>
  </si>
  <si>
    <t>52-25125</t>
  </si>
  <si>
    <t>52-25150</t>
  </si>
  <si>
    <t>52-28000</t>
  </si>
  <si>
    <t>Sewer Accrued Interest</t>
  </si>
  <si>
    <t>52-28511</t>
  </si>
  <si>
    <t>52-28521</t>
  </si>
  <si>
    <t>52-28530</t>
  </si>
  <si>
    <t>State of Utah Plant Note</t>
  </si>
  <si>
    <t>52-28550</t>
  </si>
  <si>
    <t>52-28551</t>
  </si>
  <si>
    <t>52-28555</t>
  </si>
  <si>
    <t>52-28556</t>
  </si>
  <si>
    <t>52-28570</t>
  </si>
  <si>
    <t>52-28571</t>
  </si>
  <si>
    <t>52-29100</t>
  </si>
  <si>
    <t>52-30-410</t>
  </si>
  <si>
    <t>WASTEwater Grants</t>
  </si>
  <si>
    <t>52-30-465</t>
  </si>
  <si>
    <t>Sewer Income</t>
  </si>
  <si>
    <t>52-30-470</t>
  </si>
  <si>
    <t>52-30-475</t>
  </si>
  <si>
    <t>52-30-505</t>
  </si>
  <si>
    <t>52-30-525</t>
  </si>
  <si>
    <t>52-45-618</t>
  </si>
  <si>
    <t>DONT USE Accounting Services</t>
  </si>
  <si>
    <t>52-50-155</t>
  </si>
  <si>
    <t>52-50-160</t>
  </si>
  <si>
    <t>PW Medical, LTD, Life DONT USE</t>
  </si>
  <si>
    <t>52-50-165</t>
  </si>
  <si>
    <t>52-50-170</t>
  </si>
  <si>
    <t>52-50-175</t>
  </si>
  <si>
    <t>52-50-600</t>
  </si>
  <si>
    <t>PW Salaries &amp; Wages</t>
  </si>
  <si>
    <t>52-50-601</t>
  </si>
  <si>
    <t>52-50-602</t>
  </si>
  <si>
    <t>52-50-603</t>
  </si>
  <si>
    <t>52-50-604</t>
  </si>
  <si>
    <t>52-50-607</t>
  </si>
  <si>
    <t>52-50-608</t>
  </si>
  <si>
    <t>52-50-609</t>
  </si>
  <si>
    <t>52-50-610</t>
  </si>
  <si>
    <t>52-50-612</t>
  </si>
  <si>
    <t>52-50-615</t>
  </si>
  <si>
    <t>52-50-618</t>
  </si>
  <si>
    <t>52-50-619</t>
  </si>
  <si>
    <t>52-50-620</t>
  </si>
  <si>
    <t>52-50-622</t>
  </si>
  <si>
    <t>52-50-623</t>
  </si>
  <si>
    <t>52-50-625</t>
  </si>
  <si>
    <t>52-50-629</t>
  </si>
  <si>
    <t>52-50-635</t>
  </si>
  <si>
    <t>52-50-654</t>
  </si>
  <si>
    <t>Vehicle Repairs and Maint</t>
  </si>
  <si>
    <t>52-50-658</t>
  </si>
  <si>
    <t>52-50-659</t>
  </si>
  <si>
    <t>52-50-667</t>
  </si>
  <si>
    <t>52-50-671</t>
  </si>
  <si>
    <t>52-50-675</t>
  </si>
  <si>
    <t>52-50-677</t>
  </si>
  <si>
    <t>52-50-684</t>
  </si>
  <si>
    <t>52-50-690</t>
  </si>
  <si>
    <t>52-50-694</t>
  </si>
  <si>
    <t>52-52-621</t>
  </si>
  <si>
    <t>52-52-626</t>
  </si>
  <si>
    <t>Electricity</t>
  </si>
  <si>
    <t>52-52-633</t>
  </si>
  <si>
    <t>Propane</t>
  </si>
  <si>
    <t>52-52-635</t>
  </si>
  <si>
    <t>52-52-637</t>
  </si>
  <si>
    <t>Alarm</t>
  </si>
  <si>
    <t>52-52-638</t>
  </si>
  <si>
    <t>52-52-643</t>
  </si>
  <si>
    <t>Testing</t>
  </si>
  <si>
    <t>52-52-646</t>
  </si>
  <si>
    <t>Chemicals</t>
  </si>
  <si>
    <t>52-52-648</t>
  </si>
  <si>
    <t>Waste Disposal</t>
  </si>
  <si>
    <t>52-52-664</t>
  </si>
  <si>
    <t>Bad Debt Expense - Sewer</t>
  </si>
  <si>
    <t>52-52-668</t>
  </si>
  <si>
    <t>Debt Payment</t>
  </si>
  <si>
    <t>52-52-674</t>
  </si>
  <si>
    <t>52-52-680</t>
  </si>
  <si>
    <t>52-52-688</t>
  </si>
  <si>
    <t>52-52-690</t>
  </si>
  <si>
    <t>Capital Outlay WW Grant</t>
  </si>
  <si>
    <t>52-52-691</t>
  </si>
  <si>
    <t>52-52-697</t>
  </si>
  <si>
    <t>53-10000</t>
  </si>
  <si>
    <t>53-10620</t>
  </si>
  <si>
    <t>8819 PTIF Public Garbage Reser</t>
  </si>
  <si>
    <t>53-11500</t>
  </si>
  <si>
    <t>53-11575</t>
  </si>
  <si>
    <t>53-16500</t>
  </si>
  <si>
    <t>Equipment</t>
  </si>
  <si>
    <t>53-16900</t>
  </si>
  <si>
    <t>53-21100</t>
  </si>
  <si>
    <t>53-29100</t>
  </si>
  <si>
    <t>53-30-460</t>
  </si>
  <si>
    <t>Garbage Income</t>
  </si>
  <si>
    <t>53-30-505</t>
  </si>
  <si>
    <t>53-30-525</t>
  </si>
  <si>
    <t>53-53-623</t>
  </si>
  <si>
    <t>53-53-625</t>
  </si>
  <si>
    <t>53-53-638</t>
  </si>
  <si>
    <t>53-53-649</t>
  </si>
  <si>
    <t>Garbage Haul &amp; Dump</t>
  </si>
  <si>
    <t>53-53-664</t>
  </si>
  <si>
    <t>53-53-688</t>
  </si>
  <si>
    <t>53-53-691</t>
  </si>
  <si>
    <t>53-53-697</t>
  </si>
  <si>
    <t>99-10000</t>
  </si>
  <si>
    <t>Cash Allocated to Other Funds</t>
  </si>
  <si>
    <t>99-10200</t>
  </si>
  <si>
    <t>Zion's Checking</t>
  </si>
  <si>
    <t>99-10300</t>
  </si>
  <si>
    <t>Xpress Deposit Account</t>
  </si>
  <si>
    <t>99-10800</t>
  </si>
  <si>
    <t>Cash Clearing - Utilities</t>
  </si>
  <si>
    <t>99-10850</t>
  </si>
  <si>
    <t>Cash Clearing - AR</t>
  </si>
  <si>
    <t>99-21100</t>
  </si>
  <si>
    <t>99-29100</t>
  </si>
  <si>
    <t>NFSSD</t>
  </si>
  <si>
    <t>Month</t>
  </si>
  <si>
    <t>Debit</t>
  </si>
  <si>
    <t>Credit</t>
  </si>
  <si>
    <t>DR/CR</t>
  </si>
  <si>
    <t>Match</t>
  </si>
  <si>
    <t>Grant Revenue</t>
  </si>
  <si>
    <t>Interest Income</t>
  </si>
  <si>
    <t>22-10610</t>
  </si>
  <si>
    <t>9007-2 PTIF WILDLAND Reserve</t>
  </si>
  <si>
    <t>22-22600</t>
  </si>
  <si>
    <t>22-25100</t>
  </si>
  <si>
    <t>22-25125</t>
  </si>
  <si>
    <t>22-47-603</t>
  </si>
  <si>
    <t>22-47-607</t>
  </si>
  <si>
    <t>22-47-608</t>
  </si>
  <si>
    <t>22-47-694</t>
  </si>
  <si>
    <t>51-17010</t>
  </si>
  <si>
    <t>51-21155</t>
  </si>
  <si>
    <t>Retention Interest Payable</t>
  </si>
  <si>
    <t>51-22510</t>
  </si>
  <si>
    <t>51-22520</t>
  </si>
  <si>
    <t>Income from Finance Charges</t>
  </si>
  <si>
    <t>51-50-637</t>
  </si>
  <si>
    <t>52-10622</t>
  </si>
  <si>
    <t>9546 PTIF WasteWater Reserve</t>
  </si>
  <si>
    <t>52-17010</t>
  </si>
  <si>
    <t>52-21155</t>
  </si>
  <si>
    <t>52-22510</t>
  </si>
  <si>
    <t>52-22520</t>
  </si>
  <si>
    <t>52-28540</t>
  </si>
  <si>
    <t>State of Utah 2025 WW Loan</t>
  </si>
  <si>
    <t>53-22200</t>
  </si>
  <si>
    <t>53-22210</t>
  </si>
  <si>
    <t>53-22500</t>
  </si>
  <si>
    <t>53-22600</t>
  </si>
  <si>
    <t>53-22800</t>
  </si>
  <si>
    <t>53-53-600</t>
  </si>
  <si>
    <t>53-53-601</t>
  </si>
  <si>
    <t>53-53-602</t>
  </si>
  <si>
    <t>53-53-603</t>
  </si>
  <si>
    <t>53-53-604</t>
  </si>
  <si>
    <t>53-53-607</t>
  </si>
  <si>
    <t>53-53-608</t>
  </si>
  <si>
    <t>(Multiple Items)</t>
  </si>
  <si>
    <t>Grouping Code</t>
  </si>
  <si>
    <t>Grouping Code Name</t>
  </si>
  <si>
    <t>20</t>
  </si>
  <si>
    <t>22</t>
  </si>
  <si>
    <t>51</t>
  </si>
  <si>
    <t>52</t>
  </si>
  <si>
    <t>53</t>
  </si>
  <si>
    <t>Grand Total</t>
  </si>
  <si>
    <t>New Account Number</t>
  </si>
  <si>
    <t>Account Name</t>
  </si>
  <si>
    <t>#N/A</t>
  </si>
  <si>
    <t>Miscellaneous income</t>
  </si>
  <si>
    <t>Capital Outlay</t>
  </si>
  <si>
    <t>Gain/Loss on disposal</t>
  </si>
  <si>
    <t>Debt Principle Payments</t>
  </si>
  <si>
    <t>(blank)</t>
  </si>
  <si>
    <t>Sum of 2024 Amended</t>
  </si>
  <si>
    <t>Salaries and Benefits Budget 2027</t>
  </si>
  <si>
    <t>Monthly</t>
  </si>
  <si>
    <t>Annually</t>
  </si>
  <si>
    <t>Medical</t>
  </si>
  <si>
    <t>Workers Comp</t>
  </si>
  <si>
    <t>Dental</t>
  </si>
  <si>
    <t>LTD</t>
  </si>
  <si>
    <t>Employment Taxes</t>
  </si>
  <si>
    <t>Flex</t>
  </si>
  <si>
    <t>COLA</t>
  </si>
  <si>
    <t>Cert Funds</t>
  </si>
  <si>
    <t>Account Number</t>
  </si>
  <si>
    <t>Input</t>
  </si>
  <si>
    <t>Salary</t>
  </si>
  <si>
    <t>Taxes</t>
  </si>
  <si>
    <t>Health Benefits</t>
  </si>
  <si>
    <t>WC</t>
  </si>
  <si>
    <t>Notes</t>
  </si>
  <si>
    <t># Emp</t>
  </si>
  <si>
    <t>Rate</t>
  </si>
  <si>
    <t>FIRE</t>
  </si>
  <si>
    <t>Chief</t>
  </si>
  <si>
    <t>Firefighter/Paramedic (4-FT)</t>
  </si>
  <si>
    <t>Firefighter (PT)</t>
  </si>
  <si>
    <t>Admin Manager</t>
  </si>
  <si>
    <t>Second Admin</t>
  </si>
  <si>
    <t>Controller (PT)</t>
  </si>
  <si>
    <t>Total Fire</t>
  </si>
  <si>
    <t>Check Figure (Master Budget)</t>
  </si>
  <si>
    <t>WILDLAND</t>
  </si>
  <si>
    <t>Chief Contracted OT</t>
  </si>
  <si>
    <t>Engine Boss</t>
  </si>
  <si>
    <t>New Position</t>
  </si>
  <si>
    <t>15 WL Firefighters (PT)</t>
  </si>
  <si>
    <t>Total Wildland</t>
  </si>
  <si>
    <t>WATER</t>
  </si>
  <si>
    <t>Director</t>
  </si>
  <si>
    <t>Asst Director</t>
  </si>
  <si>
    <t>25 Hrs/Week @ 27.34</t>
  </si>
  <si>
    <t>Project Superviser</t>
  </si>
  <si>
    <t>12 Hrs/Week @ 24.31</t>
  </si>
  <si>
    <t>1 less PT</t>
  </si>
  <si>
    <t>Hired in 2024</t>
  </si>
  <si>
    <t>Cert funds</t>
  </si>
  <si>
    <t>Total Water</t>
  </si>
  <si>
    <t>SEWER</t>
  </si>
  <si>
    <t>1 less</t>
  </si>
  <si>
    <t>Total Sewer</t>
  </si>
  <si>
    <t>GARBAGE</t>
  </si>
  <si>
    <t>Account #</t>
  </si>
  <si>
    <t>Account Title</t>
  </si>
  <si>
    <t>2024 Revised</t>
  </si>
  <si>
    <t>2025 Adopted</t>
  </si>
  <si>
    <t>2025 Amended</t>
  </si>
  <si>
    <t>2026 Adopted</t>
  </si>
  <si>
    <t>2026 Amended</t>
  </si>
  <si>
    <t>2027 Proposed</t>
  </si>
  <si>
    <t>Colors</t>
  </si>
  <si>
    <t xml:space="preserve">increased - due to over budget already or close to being over. The Minimun chages that need to be changed or compared to prior years to help predict. </t>
  </si>
  <si>
    <t>prejected to be over budget or over budget</t>
  </si>
  <si>
    <t xml:space="preserve">projected to be under budget by quite a bit. </t>
  </si>
  <si>
    <t xml:space="preserve">Just not sure how these numbers should be projected or they just need to be looked at. </t>
  </si>
  <si>
    <t>Ask Joe</t>
  </si>
  <si>
    <t>2026 Proposed</t>
  </si>
  <si>
    <t>increased - due to over budget already or close to being over. The Minimun chages that need to be changed.</t>
  </si>
  <si>
    <t>prejected to be over budget</t>
  </si>
  <si>
    <t>Capital Budget</t>
  </si>
  <si>
    <t>Department</t>
  </si>
  <si>
    <t>FY22</t>
  </si>
  <si>
    <t>FY23</t>
  </si>
  <si>
    <t>FY23 Amended</t>
  </si>
  <si>
    <t>FY24</t>
  </si>
  <si>
    <t>FY24 Amended</t>
  </si>
  <si>
    <t>FY25</t>
  </si>
  <si>
    <t>FY25 Amended</t>
  </si>
  <si>
    <t>FY26</t>
  </si>
  <si>
    <t>FY26 Amended</t>
  </si>
  <si>
    <t>FY27</t>
  </si>
  <si>
    <t>Firetruck (4/23)</t>
  </si>
  <si>
    <t>Firetruck (11/23)</t>
  </si>
  <si>
    <t>Firetruck Type 6</t>
  </si>
  <si>
    <t>Ambulance</t>
  </si>
  <si>
    <t>Command Truck</t>
  </si>
  <si>
    <t>Fire &amp; EMS UTV</t>
  </si>
  <si>
    <t>Narcotic Med Safe</t>
  </si>
  <si>
    <t>Station Awning</t>
  </si>
  <si>
    <t>Check</t>
  </si>
  <si>
    <t>Radios</t>
  </si>
  <si>
    <t>SCBA's (Tanks)</t>
  </si>
  <si>
    <t>From Budget Worksheet</t>
  </si>
  <si>
    <t>Mag Grant</t>
  </si>
  <si>
    <t>Total Capital Outlay</t>
  </si>
  <si>
    <t>Wildland</t>
  </si>
  <si>
    <t>Firetruck</t>
  </si>
  <si>
    <t>WL Pickup Truck</t>
  </si>
  <si>
    <t>Well Grant</t>
  </si>
  <si>
    <t>Water Filtration Bldg</t>
  </si>
  <si>
    <t>Redev Match Grant (ARPA)</t>
  </si>
  <si>
    <t>Utah Lake Grant</t>
  </si>
  <si>
    <t>Local Match Grant (ARPA)</t>
  </si>
  <si>
    <t>Loan</t>
  </si>
  <si>
    <t>New meters</t>
  </si>
  <si>
    <t>Chlorine Analyzer (2)/SCADA</t>
  </si>
  <si>
    <t>Well</t>
  </si>
  <si>
    <t>Meter &amp; Casing</t>
  </si>
  <si>
    <t>Stewart Rehab</t>
  </si>
  <si>
    <t>Well Project</t>
  </si>
  <si>
    <t>Infiltration</t>
  </si>
  <si>
    <t xml:space="preserve">Inflitration/treatment </t>
  </si>
  <si>
    <t>Aspent grove rehab</t>
  </si>
  <si>
    <t>Aspen Grove Spring Rehab</t>
  </si>
  <si>
    <t>Treatment Design</t>
  </si>
  <si>
    <t>SCAPO water Line</t>
  </si>
  <si>
    <t>Horizontal Drilling</t>
  </si>
  <si>
    <t>Stewart Spring rehab</t>
  </si>
  <si>
    <t>Admin and Legal</t>
  </si>
  <si>
    <t>Tool Cat</t>
  </si>
  <si>
    <t>Mini X</t>
  </si>
  <si>
    <t>Trailer</t>
  </si>
  <si>
    <t>Lead and Copper Rule</t>
  </si>
  <si>
    <t>Truck 1</t>
  </si>
  <si>
    <t>Filtration Building</t>
  </si>
  <si>
    <t xml:space="preserve">Truck 2 </t>
  </si>
  <si>
    <t>Water Shares</t>
  </si>
  <si>
    <t>Plant Design</t>
  </si>
  <si>
    <t>Construction Mgmt</t>
  </si>
  <si>
    <t>Construction</t>
  </si>
  <si>
    <t>Dump Truck</t>
  </si>
  <si>
    <t>Screen</t>
  </si>
  <si>
    <t>Plant</t>
  </si>
  <si>
    <t>Sewer plant upgrade (grant) (10 million)</t>
  </si>
  <si>
    <t>Sewer plant upgrade (grant-reimbursement)</t>
  </si>
  <si>
    <t>Grant funds (not advance)</t>
  </si>
  <si>
    <t>Dump Truck ($100,000 - Grant)</t>
  </si>
  <si>
    <t>Compactor</t>
  </si>
  <si>
    <t>TOTAL CAPITAL BUDGET</t>
  </si>
  <si>
    <t>Master Budget</t>
  </si>
  <si>
    <t>No</t>
  </si>
  <si>
    <t>Grouping No and Name</t>
  </si>
  <si>
    <t>2024 Adopted</t>
  </si>
  <si>
    <t>2025 Annualized</t>
  </si>
  <si>
    <t>Filter</t>
  </si>
  <si>
    <t>Cash and Cash Equivalents</t>
  </si>
  <si>
    <t>Restricted cash and investments</t>
  </si>
  <si>
    <t>Restricted Cash</t>
  </si>
  <si>
    <t>Building and Improvements</t>
  </si>
  <si>
    <t>Right to use assets</t>
  </si>
  <si>
    <t>20-16500</t>
  </si>
  <si>
    <t>RUA - Equipment</t>
  </si>
  <si>
    <t>20-16505</t>
  </si>
  <si>
    <t>RUA - Buildings and Improvements</t>
  </si>
  <si>
    <t>Accumulated Amortization</t>
  </si>
  <si>
    <t>20-16800</t>
  </si>
  <si>
    <t>Accrued Expenses</t>
  </si>
  <si>
    <t>Deferred inflows</t>
  </si>
  <si>
    <t>Notes Payable - Non Current</t>
  </si>
  <si>
    <t>Notes Payable - Current</t>
  </si>
  <si>
    <t>Capital Leases Payable  - Non Current</t>
  </si>
  <si>
    <t>Capital Leases Payable - Current</t>
  </si>
  <si>
    <t>Bonds Payable - Non Current</t>
  </si>
  <si>
    <t>Station Expansion Bond Payable</t>
  </si>
  <si>
    <t>Bonds Payable - Current</t>
  </si>
  <si>
    <t>C</t>
  </si>
  <si>
    <t>Unrestricted</t>
  </si>
  <si>
    <t>Contract Fees - Utah County</t>
  </si>
  <si>
    <t>Employee/Volunteer Incentives</t>
  </si>
  <si>
    <t>Volunteer Recruitment</t>
  </si>
  <si>
    <t>Supplies</t>
  </si>
  <si>
    <t>Dues and Subscriptions</t>
  </si>
  <si>
    <t>20-45-617</t>
  </si>
  <si>
    <t>Dispatch Assesment</t>
  </si>
  <si>
    <t>UDOT Station 2 Electricity</t>
  </si>
  <si>
    <t>20-45-653</t>
  </si>
  <si>
    <t>20-45-661</t>
  </si>
  <si>
    <t>Bank Fees/CC Processing Fees</t>
  </si>
  <si>
    <t>20-45-678</t>
  </si>
  <si>
    <t>Meals</t>
  </si>
  <si>
    <t>20-45-680</t>
  </si>
  <si>
    <t>20-45-695</t>
  </si>
  <si>
    <t>Hoses</t>
  </si>
  <si>
    <t>22-10500</t>
  </si>
  <si>
    <t>Wildland Mitigation</t>
  </si>
  <si>
    <t>Travel and Conferences</t>
  </si>
  <si>
    <t>WL Gear &amp; Tools</t>
  </si>
  <si>
    <t>51-10500</t>
  </si>
  <si>
    <t>Zion's Bond Acct 6119963</t>
  </si>
  <si>
    <t>Bond Reserve Account 611963A</t>
  </si>
  <si>
    <t>Noncurrent restricted cash and investments</t>
  </si>
  <si>
    <t>Bond Construction Acct 61199</t>
  </si>
  <si>
    <t>Allowance for Uncollectible Accounts Receivable</t>
  </si>
  <si>
    <t>Bond for Stewart Tank and Well</t>
  </si>
  <si>
    <t>Salaries and Wages</t>
  </si>
  <si>
    <t>51-50-661</t>
  </si>
  <si>
    <t>Bank and Finance Charges</t>
  </si>
  <si>
    <t>51-50-678</t>
  </si>
  <si>
    <t>Certs and Training</t>
  </si>
  <si>
    <t>Electricity Pumphouse</t>
  </si>
  <si>
    <t>Water Line and Meter Repairs</t>
  </si>
  <si>
    <t>Bankcard Fees</t>
  </si>
  <si>
    <t>CAPITAL OUTLAY-NEW WELL PROJ</t>
  </si>
  <si>
    <t>52-10500</t>
  </si>
  <si>
    <t>Wastewater system</t>
  </si>
  <si>
    <t>52-50-661</t>
  </si>
  <si>
    <t>52-50-678</t>
  </si>
  <si>
    <t>Clothing and Protective Gear</t>
  </si>
  <si>
    <t>53-10500</t>
  </si>
  <si>
    <t>Garbage Equipment</t>
  </si>
  <si>
    <t>Garbage Haul and Dump</t>
  </si>
  <si>
    <t>Budget Worksheet</t>
  </si>
  <si>
    <t>Change</t>
  </si>
  <si>
    <t>Grouping</t>
  </si>
  <si>
    <t>Prior Year</t>
  </si>
  <si>
    <t>YTD</t>
  </si>
  <si>
    <t>Annualized</t>
  </si>
  <si>
    <t>24 Amended</t>
  </si>
  <si>
    <t>25 Adopted</t>
  </si>
  <si>
    <t>Code</t>
  </si>
  <si>
    <t>2023 Amount</t>
  </si>
  <si>
    <t>to Adoped</t>
  </si>
  <si>
    <t>Amended Budget</t>
  </si>
  <si>
    <t>To Amended</t>
  </si>
  <si>
    <t>to 25 Proposed</t>
  </si>
  <si>
    <t>Amended</t>
  </si>
  <si>
    <t>to 25 Amended</t>
  </si>
  <si>
    <t>Proposed</t>
  </si>
  <si>
    <t>to 26 Amended</t>
  </si>
  <si>
    <t>to 27 Proposed</t>
  </si>
  <si>
    <t>Gear &amp; Clothing</t>
  </si>
  <si>
    <t>WW Chemicals</t>
  </si>
  <si>
    <t xml:space="preserve">is this suppose to come out of salaries and wages?? Butget showed we spent here. </t>
  </si>
  <si>
    <t>increasing due to projections and anticipated needs</t>
  </si>
  <si>
    <t>increasing due to subscription with SCADA and others increasing</t>
  </si>
  <si>
    <t>Emily, do you except this to go up?</t>
  </si>
  <si>
    <t>increased for projected 2026 and then for addition WTF</t>
  </si>
  <si>
    <t xml:space="preserve">increased due to buying our trucks </t>
  </si>
  <si>
    <t>increaseing fuel costs</t>
  </si>
  <si>
    <t>Ask Emily for break down</t>
  </si>
  <si>
    <t xml:space="preserve">Heavy Equitment repairs and maitaince </t>
  </si>
  <si>
    <t xml:space="preserve">sharing the load with WW, WW will decrease 10,000 - for heavy excavtion equitment mantaince </t>
  </si>
  <si>
    <t>bought truck so no lease any more</t>
  </si>
  <si>
    <t xml:space="preserve">increased for projected  </t>
  </si>
  <si>
    <t xml:space="preserve">increased for bugdet year for looking into uniform policy </t>
  </si>
  <si>
    <t>do we use this or need this? Can we rename this for electric for WTF? And move it from utiltiles that is electric for WTF</t>
  </si>
  <si>
    <t>increasing due to more water samples</t>
  </si>
  <si>
    <t>WTF treatment -filters</t>
  </si>
  <si>
    <t>where is our gas chlorine being coded???</t>
  </si>
  <si>
    <t>Is this cost needed?</t>
  </si>
  <si>
    <t>is this suppose to come out of salaries and wages??</t>
  </si>
  <si>
    <t>get a break down.</t>
  </si>
  <si>
    <t xml:space="preserve">Is this a one time fee. </t>
  </si>
  <si>
    <t>Decreased by 10,000 to have water share cost</t>
  </si>
  <si>
    <t>No lease should we start a replacement fund, or is this capital?</t>
  </si>
  <si>
    <t>Grant and Loan Budget</t>
  </si>
  <si>
    <t>Lead and Copper Grant</t>
  </si>
  <si>
    <t>MAG Grant (Sewer)</t>
  </si>
  <si>
    <t>Grants and Loan Total</t>
  </si>
  <si>
    <t>Total Project Amount</t>
  </si>
  <si>
    <t>Grant Amount</t>
  </si>
  <si>
    <t>Projects</t>
  </si>
  <si>
    <t>Aspen grove rehab</t>
  </si>
  <si>
    <t>Salaries and Benefits Budget 2026</t>
  </si>
  <si>
    <t>Engine Boss/EMT</t>
  </si>
  <si>
    <t>New position</t>
  </si>
  <si>
    <t>PY was 2 lines of 2 each</t>
  </si>
  <si>
    <t>No more wildland bonus but contracted WL OT?</t>
  </si>
  <si>
    <t>Salaries and Benefits Budget 2025</t>
  </si>
  <si>
    <t>7 WL Firefighters (PT)</t>
  </si>
  <si>
    <t>Bonus?  Based off prior years</t>
  </si>
  <si>
    <t>Sewer plant upgrade (grant)</t>
  </si>
  <si>
    <t>Engine Boss/Paramedic</t>
  </si>
  <si>
    <t>New in 2023</t>
  </si>
  <si>
    <t>Firefighter/Paramedic (2-FT)</t>
  </si>
  <si>
    <t>Firefighter/EMT (2-FT)</t>
  </si>
  <si>
    <t>Firefighters (PT)</t>
  </si>
  <si>
    <t>16 Hrs/Week @ 24.31</t>
  </si>
  <si>
    <t>1 new PT</t>
  </si>
  <si>
    <t>#</t>
  </si>
  <si>
    <t>Emp</t>
  </si>
  <si>
    <t>Firefighter/Paramedic (PT)</t>
  </si>
  <si>
    <t>FEMA Grant Coordinator</t>
  </si>
  <si>
    <t>Check Figure</t>
  </si>
  <si>
    <t>Empl</t>
  </si>
  <si>
    <t>Staff (FT-2)</t>
  </si>
  <si>
    <t>Staff (PT-2)</t>
  </si>
  <si>
    <t>Chlorine Analyzer (2)</t>
  </si>
  <si>
    <t>Grant Funds</t>
  </si>
  <si>
    <t>Screen and SCADA</t>
  </si>
  <si>
    <t>Fund Raising Expenses</t>
  </si>
  <si>
    <t>Electric Water Infiltration</t>
  </si>
  <si>
    <t>WTF Treament</t>
  </si>
  <si>
    <t>Retention Payable</t>
  </si>
  <si>
    <t>Compensated Absences Noncurrent</t>
  </si>
  <si>
    <t>Notes Payable - Noncurrent</t>
  </si>
  <si>
    <t>Capital Leases Payable  - Noncurrent</t>
  </si>
  <si>
    <t>Ambulance Lease Current Portion</t>
  </si>
  <si>
    <t>Bonds Payable - Noncurrent</t>
  </si>
  <si>
    <t>Volunteer Incentives</t>
  </si>
  <si>
    <t>22-17000</t>
  </si>
  <si>
    <t>22-17010</t>
  </si>
  <si>
    <t>22-22510</t>
  </si>
  <si>
    <t>22-22520</t>
  </si>
  <si>
    <t>51-17000</t>
  </si>
  <si>
    <t>Leases Current Portion</t>
  </si>
  <si>
    <t>Sewer Vehicles</t>
  </si>
  <si>
    <t>52-17000</t>
  </si>
  <si>
    <t>2026 Projection</t>
  </si>
  <si>
    <t>26 Projected</t>
  </si>
  <si>
    <t>Linked to Salary or Capital Tabs</t>
  </si>
  <si>
    <t>Sum of 2026 Amended</t>
  </si>
  <si>
    <t>Sum of 2027 Proposed</t>
  </si>
  <si>
    <t>Budget Summary</t>
  </si>
  <si>
    <t>2019 Amended</t>
  </si>
  <si>
    <t>2020 Adopted</t>
  </si>
  <si>
    <t>2021 Adopted</t>
  </si>
  <si>
    <t>2021 Amended</t>
  </si>
  <si>
    <t>2022 Adopted</t>
  </si>
  <si>
    <t>2022 Amended</t>
  </si>
  <si>
    <t>2023 Adopted</t>
  </si>
  <si>
    <t>2023 Amended</t>
  </si>
  <si>
    <t>2019 Actual</t>
  </si>
  <si>
    <t>Bonds or other financing</t>
  </si>
  <si>
    <t>2027 Proposed Budget by Department</t>
  </si>
  <si>
    <t>2027 Proposed Budget</t>
  </si>
  <si>
    <t>2027 Amended</t>
  </si>
  <si>
    <t>2026 Amended Budget by Department</t>
  </si>
  <si>
    <t>2026 Amended Budget</t>
  </si>
  <si>
    <t>25 Hrs/Week @31.69</t>
  </si>
  <si>
    <t>12 Hrs/Week @ 28.19</t>
  </si>
  <si>
    <t>20 Hrs/Week @ 21.49</t>
  </si>
  <si>
    <t>PY Amount</t>
  </si>
  <si>
    <t>Dept %</t>
  </si>
  <si>
    <t>Year</t>
  </si>
  <si>
    <t>Principal</t>
  </si>
  <si>
    <t>Interest</t>
  </si>
  <si>
    <t>Northfork Special Service District</t>
  </si>
  <si>
    <t>capital outlay</t>
  </si>
  <si>
    <t>Debt Service and Capital Outlay</t>
  </si>
  <si>
    <t>Net increase (decrease)</t>
  </si>
  <si>
    <t>FIRE (Fund 20)</t>
  </si>
  <si>
    <t>WATER Fund 51</t>
  </si>
  <si>
    <t>SEWER 52</t>
  </si>
  <si>
    <t>Grouping Code and Name</t>
  </si>
  <si>
    <t>2025 Audit</t>
  </si>
  <si>
    <t>capital Leases Payable  - Noncurrent</t>
  </si>
  <si>
    <t>Oshkosh capital - Fire Tender</t>
  </si>
  <si>
    <t>capital Leases Payable - Current</t>
  </si>
  <si>
    <t>capital Outlay</t>
  </si>
  <si>
    <t>capital Equipment</t>
  </si>
  <si>
    <t>9007-2 PTIF Wildland Reserve</t>
  </si>
  <si>
    <t>capital OUTLAY-NEW WELL PROJ</t>
  </si>
  <si>
    <t>capital Outlay-Infiltration</t>
  </si>
  <si>
    <t>capital Outlay WW Grant</t>
  </si>
  <si>
    <t>TB 2026-Sept</t>
  </si>
  <si>
    <t>Column Labels</t>
  </si>
  <si>
    <t>Row Labels</t>
  </si>
  <si>
    <t>Sum of 2025 Audit</t>
  </si>
  <si>
    <t>100 - Salaries and Benefits</t>
  </si>
  <si>
    <t>200 - General and Administrative</t>
  </si>
  <si>
    <t>30 - Charges for services</t>
  </si>
  <si>
    <t>40 - Miscellaneous income</t>
  </si>
  <si>
    <t>500 - Repairs and Maintenance</t>
  </si>
  <si>
    <t>60 - Donations</t>
  </si>
  <si>
    <t>600 - Bad Debt</t>
  </si>
  <si>
    <t>620 - Interest Expense</t>
  </si>
  <si>
    <t>70 - Grant revenue</t>
  </si>
  <si>
    <t>700 - Depreciation and Amortization</t>
  </si>
  <si>
    <t>710 - capital Outlay</t>
  </si>
  <si>
    <t>720 - Gain/Loss on disposal</t>
  </si>
  <si>
    <t>950 - Property Taxes</t>
  </si>
  <si>
    <t>960 - Interest income</t>
  </si>
  <si>
    <t>970 - Debt Principle Payments</t>
  </si>
  <si>
    <t>Sum of 2026 Projection</t>
  </si>
  <si>
    <t>Sum of 2026 Adopted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</si>
</sst>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.0000_);_(* \(#,##0.0000\);_(* &quot;-&quot;??_);_(@_)"/>
    <numFmt numFmtId="166" formatCode="_(* #,##0.0_);_(* \(#,##0.0\);_(* &quot;-&quot;??_);_(@_)"/>
    <numFmt numFmtId="167" formatCode="_(* #,##0.00000_);_(* \(#,##0.00000\);_(* &quot;-&quot;??_);_(@_)"/>
    <numFmt numFmtId="168" formatCode="_(* #,##0_);_(* \(#,##0\);_(* &quot;-&quot;??_);_(@_)"/>
    <numFmt numFmtId="169" formatCode="_(&quot;$&quot;* #,##0_);_(&quot;$&quot;* \(#,##0\);_(&quot;$&quot;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ptos Narrow"/>
      <family val="2"/>
    </font>
    <font>
      <sz val="11"/>
      <color rgb="FF0000FF"/>
      <name val="Aptos Narrow"/>
      <family val="2"/>
    </font>
    <font>
      <b/>
      <sz val="11"/>
      <color theme="1"/>
      <name val="Aptos Narrow"/>
      <family val="2"/>
    </font>
    <font>
      <sz val="11"/>
      <color rgb="FF0033CC"/>
      <name val="Aptos Narrow"/>
      <family val="2"/>
    </font>
    <font>
      <sz val="11"/>
      <color rgb="FFFF0000"/>
      <name val="Aptos Narrow"/>
      <family val="2"/>
    </font>
    <font>
      <b/>
      <sz val="11"/>
      <color theme="0"/>
      <name val="Aptos Narrow"/>
      <family val="2"/>
    </font>
    <font>
      <b/>
      <sz val="11"/>
      <color rgb="FF0000FF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0"/>
      <color theme="1"/>
      <name val="Aptos Narrow"/>
      <family val="2"/>
    </font>
    <font>
      <sz val="10"/>
      <color rgb="FF0000FF"/>
      <name val="Aptos Narrow"/>
      <family val="2"/>
    </font>
    <font>
      <sz val="10"/>
      <color rgb="FFFF0000"/>
      <name val="Aptos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C5ED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40">
    <xf numFmtId="0" fontId="0" fillId="0" borderId="0" xfId="0"/>
    <xf numFmtId="0" fontId="20" fillId="0" borderId="0" xfId="0" applyFont="1"/>
    <xf numFmtId="168" fontId="21" fillId="33" borderId="15" xfId="1" applyNumberFormat="1" applyFont="1" applyFill="1" applyBorder="1"/>
    <xf numFmtId="0" fontId="20" fillId="0" borderId="0" xfId="0" applyFont="1" applyAlignment="1">
      <alignment horizontal="left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/>
    <xf numFmtId="168" fontId="20" fillId="0" borderId="0" xfId="1" applyNumberFormat="1" applyFont="1"/>
    <xf numFmtId="0" fontId="20" fillId="0" borderId="0" xfId="0" applyFont="1" applyAlignment="1">
      <alignment horizontal="left" indent="1"/>
    </xf>
    <xf numFmtId="43" fontId="20" fillId="0" borderId="0" xfId="1" applyFont="1"/>
    <xf numFmtId="0" fontId="20" fillId="0" borderId="0" xfId="1" applyNumberFormat="1" applyFont="1" applyAlignment="1">
      <alignment horizontal="left"/>
    </xf>
    <xf numFmtId="168" fontId="20" fillId="0" borderId="11" xfId="1" applyNumberFormat="1" applyFont="1" applyBorder="1"/>
    <xf numFmtId="0" fontId="22" fillId="34" borderId="0" xfId="0" applyFont="1" applyFill="1" applyAlignment="1">
      <alignment horizontal="left" indent="3"/>
    </xf>
    <xf numFmtId="0" fontId="20" fillId="34" borderId="0" xfId="0" applyFont="1" applyFill="1" applyAlignment="1">
      <alignment horizontal="left"/>
    </xf>
    <xf numFmtId="168" fontId="23" fillId="34" borderId="11" xfId="1" applyNumberFormat="1" applyFont="1" applyFill="1" applyBorder="1"/>
    <xf numFmtId="168" fontId="23" fillId="0" borderId="0" xfId="1" applyNumberFormat="1" applyFont="1" applyBorder="1"/>
    <xf numFmtId="43" fontId="24" fillId="33" borderId="12" xfId="0" applyNumberFormat="1" applyFont="1" applyFill="1" applyBorder="1"/>
    <xf numFmtId="0" fontId="20" fillId="0" borderId="0" xfId="0" applyFont="1" applyAlignment="1">
      <alignment horizontal="left" indent="2"/>
    </xf>
    <xf numFmtId="168" fontId="20" fillId="0" borderId="0" xfId="1" applyNumberFormat="1" applyFont="1" applyBorder="1"/>
    <xf numFmtId="168" fontId="20" fillId="0" borderId="0" xfId="1" applyNumberFormat="1" applyFont="1" applyFill="1"/>
    <xf numFmtId="168" fontId="20" fillId="33" borderId="0" xfId="1" applyNumberFormat="1" applyFont="1" applyFill="1"/>
    <xf numFmtId="43" fontId="20" fillId="0" borderId="0" xfId="1" applyFont="1" applyFill="1"/>
    <xf numFmtId="168" fontId="21" fillId="0" borderId="0" xfId="1" applyNumberFormat="1" applyFont="1" applyFill="1"/>
    <xf numFmtId="0" fontId="20" fillId="34" borderId="0" xfId="0" applyFont="1" applyFill="1" applyAlignment="1">
      <alignment horizontal="left" indent="3"/>
    </xf>
    <xf numFmtId="43" fontId="20" fillId="34" borderId="0" xfId="1" applyFont="1" applyFill="1"/>
    <xf numFmtId="168" fontId="20" fillId="34" borderId="13" xfId="1" applyNumberFormat="1" applyFont="1" applyFill="1" applyBorder="1"/>
    <xf numFmtId="168" fontId="20" fillId="34" borderId="0" xfId="1" applyNumberFormat="1" applyFont="1" applyFill="1" applyBorder="1"/>
    <xf numFmtId="0" fontId="20" fillId="0" borderId="0" xfId="0" applyFont="1" applyAlignment="1">
      <alignment horizontal="left" indent="3"/>
    </xf>
    <xf numFmtId="0" fontId="22" fillId="34" borderId="0" xfId="0" applyFont="1" applyFill="1" applyAlignment="1">
      <alignment horizontal="left"/>
    </xf>
    <xf numFmtId="164" fontId="20" fillId="0" borderId="0" xfId="0" applyNumberFormat="1" applyFont="1"/>
    <xf numFmtId="0" fontId="20" fillId="33" borderId="0" xfId="0" applyFont="1" applyFill="1"/>
    <xf numFmtId="43" fontId="20" fillId="33" borderId="0" xfId="1" applyFont="1" applyFill="1"/>
    <xf numFmtId="44" fontId="20" fillId="0" borderId="0" xfId="2" applyFont="1"/>
    <xf numFmtId="44" fontId="20" fillId="0" borderId="11" xfId="2" applyFont="1" applyBorder="1"/>
    <xf numFmtId="43" fontId="20" fillId="0" borderId="0" xfId="1" applyFont="1" applyBorder="1"/>
    <xf numFmtId="10" fontId="20" fillId="0" borderId="0" xfId="0" applyNumberFormat="1" applyFont="1"/>
    <xf numFmtId="10" fontId="20" fillId="0" borderId="0" xfId="1" applyNumberFormat="1" applyFont="1"/>
    <xf numFmtId="9" fontId="20" fillId="0" borderId="0" xfId="1" applyNumberFormat="1" applyFont="1"/>
    <xf numFmtId="10" fontId="20" fillId="0" borderId="0" xfId="44" applyNumberFormat="1" applyFont="1" applyAlignment="1">
      <alignment horizontal="center"/>
    </xf>
    <xf numFmtId="0" fontId="20" fillId="34" borderId="0" xfId="0" applyFont="1" applyFill="1"/>
    <xf numFmtId="0" fontId="20" fillId="34" borderId="0" xfId="0" applyFont="1" applyFill="1" applyAlignment="1">
      <alignment horizontal="center"/>
    </xf>
    <xf numFmtId="43" fontId="22" fillId="0" borderId="0" xfId="1" applyFont="1"/>
    <xf numFmtId="44" fontId="20" fillId="34" borderId="11" xfId="2" applyFont="1" applyFill="1" applyBorder="1"/>
    <xf numFmtId="165" fontId="20" fillId="0" borderId="0" xfId="1" applyNumberFormat="1" applyFont="1" applyBorder="1"/>
    <xf numFmtId="166" fontId="20" fillId="0" borderId="0" xfId="1" applyNumberFormat="1" applyFont="1"/>
    <xf numFmtId="167" fontId="20" fillId="0" borderId="0" xfId="1" applyNumberFormat="1" applyFont="1"/>
    <xf numFmtId="0" fontId="25" fillId="36" borderId="0" xfId="0" applyFont="1" applyFill="1" applyAlignment="1">
      <alignment horizontal="center"/>
    </xf>
    <xf numFmtId="44" fontId="21" fillId="0" borderId="0" xfId="2" applyFont="1"/>
    <xf numFmtId="43" fontId="22" fillId="0" borderId="12" xfId="1" applyFont="1" applyBorder="1"/>
    <xf numFmtId="43" fontId="21" fillId="0" borderId="0" xfId="1" applyFont="1"/>
    <xf numFmtId="43" fontId="21" fillId="0" borderId="0" xfId="1" applyFont="1" applyBorder="1"/>
    <xf numFmtId="43" fontId="24" fillId="33" borderId="12" xfId="1" applyFont="1" applyFill="1" applyBorder="1"/>
    <xf numFmtId="166" fontId="22" fillId="0" borderId="12" xfId="1" applyNumberFormat="1" applyFont="1" applyBorder="1"/>
    <xf numFmtId="0" fontId="21" fillId="0" borderId="0" xfId="0" applyFont="1"/>
    <xf numFmtId="43" fontId="26" fillId="0" borderId="12" xfId="1" applyFont="1" applyBorder="1"/>
    <xf numFmtId="44" fontId="22" fillId="0" borderId="0" xfId="0" applyNumberFormat="1" applyFont="1"/>
    <xf numFmtId="0" fontId="20" fillId="0" borderId="10" xfId="0" applyFont="1" applyBorder="1" applyAlignment="1">
      <alignment horizontal="centerContinuous"/>
    </xf>
    <xf numFmtId="168" fontId="21" fillId="33" borderId="16" xfId="1" applyNumberFormat="1" applyFont="1" applyFill="1" applyBorder="1"/>
    <xf numFmtId="168" fontId="21" fillId="33" borderId="17" xfId="1" applyNumberFormat="1" applyFont="1" applyFill="1" applyBorder="1"/>
    <xf numFmtId="43" fontId="20" fillId="0" borderId="11" xfId="0" applyNumberFormat="1" applyFont="1" applyBorder="1"/>
    <xf numFmtId="44" fontId="23" fillId="0" borderId="11" xfId="2" applyFont="1" applyBorder="1"/>
    <xf numFmtId="43" fontId="21" fillId="0" borderId="0" xfId="1" applyFont="1" applyFill="1"/>
    <xf numFmtId="43" fontId="20" fillId="34" borderId="13" xfId="1" applyFont="1" applyFill="1" applyBorder="1"/>
    <xf numFmtId="43" fontId="20" fillId="34" borderId="0" xfId="1" applyFont="1" applyFill="1" applyBorder="1"/>
    <xf numFmtId="0" fontId="27" fillId="0" borderId="12" xfId="0" applyFont="1" applyBorder="1" applyAlignment="1">
      <alignment horizontal="center"/>
    </xf>
    <xf numFmtId="43" fontId="27" fillId="0" borderId="12" xfId="1" applyFont="1" applyBorder="1"/>
    <xf numFmtId="0" fontId="27" fillId="0" borderId="12" xfId="0" applyFont="1" applyBorder="1"/>
    <xf numFmtId="0" fontId="20" fillId="0" borderId="12" xfId="0" applyFont="1" applyBorder="1"/>
    <xf numFmtId="43" fontId="20" fillId="0" borderId="12" xfId="1" applyFont="1" applyBorder="1"/>
    <xf numFmtId="0" fontId="20" fillId="37" borderId="0" xfId="0" applyFont="1" applyFill="1"/>
    <xf numFmtId="0" fontId="20" fillId="38" borderId="0" xfId="0" applyFont="1" applyFill="1"/>
    <xf numFmtId="0" fontId="20" fillId="39" borderId="0" xfId="0" applyFont="1" applyFill="1"/>
    <xf numFmtId="43" fontId="21" fillId="0" borderId="12" xfId="1" applyFont="1" applyBorder="1"/>
    <xf numFmtId="43" fontId="20" fillId="37" borderId="12" xfId="1" applyFont="1" applyFill="1" applyBorder="1"/>
    <xf numFmtId="43" fontId="20" fillId="0" borderId="12" xfId="1" applyFont="1" applyFill="1" applyBorder="1"/>
    <xf numFmtId="43" fontId="20" fillId="40" borderId="12" xfId="1" applyFont="1" applyFill="1" applyBorder="1"/>
    <xf numFmtId="0" fontId="22" fillId="0" borderId="10" xfId="0" applyFont="1" applyBorder="1"/>
    <xf numFmtId="0" fontId="20" fillId="42" borderId="0" xfId="0" applyFont="1" applyFill="1"/>
    <xf numFmtId="43" fontId="21" fillId="42" borderId="0" xfId="1" applyFont="1" applyFill="1"/>
    <xf numFmtId="0" fontId="24" fillId="33" borderId="0" xfId="0" applyFont="1" applyFill="1"/>
    <xf numFmtId="0" fontId="20" fillId="0" borderId="15" xfId="0" applyFont="1" applyBorder="1"/>
    <xf numFmtId="0" fontId="20" fillId="0" borderId="17" xfId="0" applyFont="1" applyBorder="1" applyAlignment="1">
      <alignment horizontal="center"/>
    </xf>
    <xf numFmtId="14" fontId="20" fillId="0" borderId="10" xfId="0" applyNumberFormat="1" applyFont="1" applyBorder="1" applyAlignment="1">
      <alignment horizontal="center"/>
    </xf>
    <xf numFmtId="43" fontId="23" fillId="0" borderId="0" xfId="1" applyFont="1" applyFill="1"/>
    <xf numFmtId="43" fontId="28" fillId="0" borderId="0" xfId="1" applyFont="1" applyFill="1"/>
    <xf numFmtId="43" fontId="24" fillId="0" borderId="0" xfId="0" applyNumberFormat="1" applyFont="1"/>
    <xf numFmtId="43" fontId="24" fillId="0" borderId="0" xfId="1" applyFont="1" applyFill="1"/>
    <xf numFmtId="0" fontId="20" fillId="0" borderId="14" xfId="0" applyFont="1" applyBorder="1"/>
    <xf numFmtId="43" fontId="20" fillId="0" borderId="14" xfId="1" applyFont="1" applyFill="1" applyBorder="1"/>
    <xf numFmtId="43" fontId="23" fillId="0" borderId="14" xfId="1" applyFont="1" applyFill="1" applyBorder="1"/>
    <xf numFmtId="43" fontId="21" fillId="0" borderId="14" xfId="1" applyFont="1" applyFill="1" applyBorder="1"/>
    <xf numFmtId="43" fontId="28" fillId="0" borderId="14" xfId="1" applyFont="1" applyFill="1" applyBorder="1"/>
    <xf numFmtId="43" fontId="24" fillId="0" borderId="14" xfId="0" applyNumberFormat="1" applyFont="1" applyBorder="1"/>
    <xf numFmtId="43" fontId="24" fillId="0" borderId="14" xfId="1" applyFont="1" applyFill="1" applyBorder="1"/>
    <xf numFmtId="43" fontId="20" fillId="0" borderId="0" xfId="1" applyFont="1" applyFill="1" applyBorder="1"/>
    <xf numFmtId="43" fontId="23" fillId="0" borderId="0" xfId="1" applyFont="1" applyFill="1" applyBorder="1"/>
    <xf numFmtId="43" fontId="21" fillId="0" borderId="0" xfId="1" applyFont="1" applyFill="1" applyBorder="1"/>
    <xf numFmtId="43" fontId="28" fillId="0" borderId="0" xfId="1" applyFont="1" applyFill="1" applyBorder="1"/>
    <xf numFmtId="43" fontId="24" fillId="0" borderId="0" xfId="1" applyFont="1" applyFill="1" applyBorder="1"/>
    <xf numFmtId="43" fontId="21" fillId="0" borderId="0" xfId="0" applyNumberFormat="1" applyFont="1"/>
    <xf numFmtId="43" fontId="24" fillId="0" borderId="18" xfId="0" applyNumberFormat="1" applyFont="1" applyBorder="1"/>
    <xf numFmtId="43" fontId="24" fillId="0" borderId="19" xfId="0" applyNumberFormat="1" applyFont="1" applyBorder="1"/>
    <xf numFmtId="43" fontId="24" fillId="41" borderId="0" xfId="0" applyNumberFormat="1" applyFont="1" applyFill="1"/>
    <xf numFmtId="43" fontId="21" fillId="0" borderId="14" xfId="0" applyNumberFormat="1" applyFont="1" applyBorder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left"/>
    </xf>
    <xf numFmtId="0" fontId="29" fillId="0" borderId="0" xfId="0" applyFont="1"/>
    <xf numFmtId="43" fontId="29" fillId="0" borderId="0" xfId="0" applyNumberFormat="1" applyFont="1"/>
    <xf numFmtId="0" fontId="29" fillId="0" borderId="10" xfId="0" applyFont="1" applyBorder="1" applyAlignment="1">
      <alignment horizontal="center" wrapText="1"/>
    </xf>
    <xf numFmtId="0" fontId="29" fillId="0" borderId="10" xfId="0" applyFont="1" applyBorder="1" applyAlignment="1">
      <alignment horizontal="left" wrapText="1"/>
    </xf>
    <xf numFmtId="0" fontId="29" fillId="0" borderId="0" xfId="0" applyFont="1" applyAlignment="1">
      <alignment horizontal="center" wrapText="1"/>
    </xf>
    <xf numFmtId="43" fontId="29" fillId="0" borderId="0" xfId="1" applyFont="1"/>
    <xf numFmtId="43" fontId="30" fillId="0" borderId="0" xfId="1" applyFont="1"/>
    <xf numFmtId="0" fontId="29" fillId="35" borderId="0" xfId="0" applyFont="1" applyFill="1" applyAlignment="1">
      <alignment horizontal="center"/>
    </xf>
    <xf numFmtId="0" fontId="29" fillId="35" borderId="0" xfId="0" applyFont="1" applyFill="1"/>
    <xf numFmtId="0" fontId="29" fillId="33" borderId="0" xfId="0" applyFont="1" applyFill="1"/>
    <xf numFmtId="0" fontId="29" fillId="35" borderId="0" xfId="0" applyFont="1" applyFill="1" applyAlignment="1">
      <alignment horizontal="left"/>
    </xf>
    <xf numFmtId="0" fontId="20" fillId="43" borderId="12" xfId="0" applyFont="1" applyFill="1" applyBorder="1"/>
    <xf numFmtId="43" fontId="20" fillId="43" borderId="12" xfId="1" applyFont="1" applyFill="1" applyBorder="1"/>
    <xf numFmtId="43" fontId="20" fillId="0" borderId="16" xfId="0" applyNumberFormat="1" applyFont="1" applyBorder="1"/>
    <xf numFmtId="0" fontId="29" fillId="0" borderId="14" xfId="0" applyFont="1" applyBorder="1"/>
    <xf numFmtId="0" fontId="29" fillId="0" borderId="14" xfId="0" applyFont="1" applyBorder="1" applyAlignment="1">
      <alignment horizontal="center"/>
    </xf>
    <xf numFmtId="0" fontId="29" fillId="0" borderId="14" xfId="0" applyFont="1" applyBorder="1" applyAlignment="1">
      <alignment horizontal="left"/>
    </xf>
    <xf numFmtId="43" fontId="29" fillId="0" borderId="14" xfId="1" applyFont="1" applyBorder="1"/>
    <xf numFmtId="43" fontId="30" fillId="0" borderId="14" xfId="1" applyFont="1" applyBorder="1"/>
    <xf numFmtId="0" fontId="20" fillId="44" borderId="0" xfId="0" applyFont="1" applyFill="1"/>
    <xf numFmtId="43" fontId="20" fillId="44" borderId="0" xfId="1" applyFont="1" applyFill="1"/>
    <xf numFmtId="43" fontId="23" fillId="44" borderId="0" xfId="1" applyFont="1" applyFill="1"/>
    <xf numFmtId="43" fontId="21" fillId="44" borderId="0" xfId="1" applyFont="1" applyFill="1"/>
    <xf numFmtId="43" fontId="28" fillId="44" borderId="0" xfId="1" applyFont="1" applyFill="1"/>
    <xf numFmtId="43" fontId="24" fillId="44" borderId="0" xfId="0" applyNumberFormat="1" applyFont="1" applyFill="1"/>
    <xf numFmtId="43" fontId="24" fillId="44" borderId="0" xfId="1" applyFont="1" applyFill="1"/>
    <xf numFmtId="168" fontId="21" fillId="33" borderId="12" xfId="1" applyNumberFormat="1" applyFont="1" applyFill="1" applyBorder="1"/>
    <xf numFmtId="43" fontId="20" fillId="42" borderId="0" xfId="1" applyFont="1" applyFill="1"/>
    <xf numFmtId="43" fontId="23" fillId="42" borderId="0" xfId="1" applyFont="1" applyFill="1"/>
    <xf numFmtId="43" fontId="28" fillId="42" borderId="0" xfId="1" applyFont="1" applyFill="1"/>
    <xf numFmtId="43" fontId="24" fillId="42" borderId="0" xfId="0" applyNumberFormat="1" applyFont="1" applyFill="1"/>
    <xf numFmtId="43" fontId="24" fillId="42" borderId="0" xfId="1" applyFont="1" applyFill="1"/>
    <xf numFmtId="168" fontId="28" fillId="0" borderId="0" xfId="1" applyNumberFormat="1" applyFont="1" applyFill="1"/>
    <xf numFmtId="0" fontId="20" fillId="0" borderId="0" xfId="0" applyFont="1" applyAlignment="1">
      <alignment horizontal="centerContinuous"/>
    </xf>
    <xf numFmtId="168" fontId="20" fillId="0" borderId="10" xfId="1" applyNumberFormat="1" applyFont="1" applyBorder="1"/>
    <xf numFmtId="168" fontId="20" fillId="0" borderId="20" xfId="1" applyNumberFormat="1" applyFont="1" applyBorder="1"/>
    <xf numFmtId="168" fontId="20" fillId="0" borderId="19" xfId="1" applyNumberFormat="1" applyFont="1" applyBorder="1"/>
    <xf numFmtId="0" fontId="20" fillId="0" borderId="10" xfId="0" applyFont="1" applyBorder="1" applyAlignment="1">
      <alignment horizontal="center" wrapText="1"/>
    </xf>
    <xf numFmtId="168" fontId="20" fillId="0" borderId="10" xfId="1" applyNumberFormat="1" applyFont="1" applyBorder="1" applyAlignment="1">
      <alignment wrapText="1"/>
    </xf>
    <xf numFmtId="168" fontId="0" fillId="0" borderId="0" xfId="0" applyNumberFormat="1"/>
    <xf numFmtId="43" fontId="21" fillId="33" borderId="0" xfId="1" applyFont="1" applyFill="1"/>
    <xf numFmtId="168" fontId="22" fillId="0" borderId="0" xfId="1" applyNumberFormat="1" applyFont="1"/>
    <xf numFmtId="0" fontId="20" fillId="0" borderId="10" xfId="1" applyNumberFormat="1" applyFont="1" applyBorder="1" applyAlignment="1">
      <alignment horizontal="left"/>
    </xf>
    <xf numFmtId="0" fontId="0" fillId="0" borderId="0" xfId="0" pivotButton="1"/>
    <xf numFmtId="43" fontId="0" fillId="0" borderId="0" xfId="0" applyNumberFormat="1"/>
    <xf numFmtId="0" fontId="0" fillId="0" borderId="0" xfId="0" applyAlignment="1">
      <alignment horizontal="center" wrapText="1"/>
    </xf>
    <xf numFmtId="0" fontId="20" fillId="0" borderId="0" xfId="0" applyFont="1" applyAlignment="1">
      <alignment horizontal="center" wrapText="1"/>
    </xf>
    <xf numFmtId="168" fontId="22" fillId="0" borderId="0" xfId="1" applyNumberFormat="1" applyFont="1" applyBorder="1"/>
    <xf numFmtId="43" fontId="0" fillId="0" borderId="0" xfId="1" applyFont="1"/>
    <xf numFmtId="0" fontId="16" fillId="0" borderId="0" xfId="0" pivotButton="1" applyFont="1"/>
    <xf numFmtId="0" fontId="16" fillId="0" borderId="10" xfId="0" applyFont="1" applyBorder="1" applyAlignment="1">
      <alignment horizontal="center"/>
    </xf>
    <xf numFmtId="0" fontId="0" fillId="0" borderId="10" xfId="0" pivotButton="1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20" fillId="33" borderId="12" xfId="0" applyFont="1" applyFill="1" applyBorder="1"/>
    <xf numFmtId="43" fontId="20" fillId="33" borderId="12" xfId="1" applyFont="1" applyFill="1" applyBorder="1"/>
    <xf numFmtId="43" fontId="20" fillId="0" borderId="0" xfId="0" applyNumberFormat="1" applyFont="1"/>
    <xf numFmtId="43" fontId="23" fillId="0" borderId="12" xfId="1" applyFont="1" applyFill="1" applyBorder="1"/>
    <xf numFmtId="0" fontId="20" fillId="0" borderId="19" xfId="0" applyFont="1" applyBorder="1"/>
    <xf numFmtId="43" fontId="20" fillId="0" borderId="19" xfId="1" applyFont="1" applyFill="1" applyBorder="1"/>
    <xf numFmtId="43" fontId="21" fillId="0" borderId="19" xfId="1" applyFont="1" applyBorder="1"/>
    <xf numFmtId="0" fontId="20" fillId="0" borderId="22" xfId="0" applyFont="1" applyBorder="1"/>
    <xf numFmtId="43" fontId="20" fillId="0" borderId="22" xfId="1" applyFont="1" applyFill="1" applyBorder="1"/>
    <xf numFmtId="43" fontId="20" fillId="0" borderId="22" xfId="1" applyFont="1" applyBorder="1"/>
    <xf numFmtId="43" fontId="20" fillId="0" borderId="19" xfId="1" applyFont="1" applyBorder="1"/>
    <xf numFmtId="43" fontId="20" fillId="37" borderId="19" xfId="1" applyFont="1" applyFill="1" applyBorder="1"/>
    <xf numFmtId="43" fontId="28" fillId="0" borderId="19" xfId="1" applyFont="1" applyBorder="1"/>
    <xf numFmtId="43" fontId="31" fillId="33" borderId="0" xfId="0" applyNumberFormat="1" applyFont="1" applyFill="1"/>
    <xf numFmtId="43" fontId="29" fillId="0" borderId="0" xfId="1" applyFont="1" applyBorder="1"/>
    <xf numFmtId="43" fontId="30" fillId="0" borderId="0" xfId="1" applyFont="1" applyBorder="1"/>
    <xf numFmtId="43" fontId="21" fillId="0" borderId="12" xfId="1" applyFont="1" applyFill="1" applyBorder="1"/>
    <xf numFmtId="0" fontId="29" fillId="38" borderId="0" xfId="0" applyFont="1" applyFill="1" applyAlignment="1">
      <alignment horizontal="center"/>
    </xf>
    <xf numFmtId="0" fontId="29" fillId="38" borderId="0" xfId="0" applyFont="1" applyFill="1"/>
    <xf numFmtId="0" fontId="0" fillId="0" borderId="0" xfId="0" applyAlignment="1">
      <alignment horizontal="center"/>
    </xf>
    <xf numFmtId="43" fontId="21" fillId="46" borderId="12" xfId="1" applyFont="1" applyFill="1" applyBorder="1"/>
    <xf numFmtId="10" fontId="20" fillId="0" borderId="0" xfId="44" applyNumberFormat="1" applyFont="1" applyAlignment="1">
      <alignment horizontal="left"/>
    </xf>
    <xf numFmtId="9" fontId="20" fillId="0" borderId="0" xfId="0" applyNumberFormat="1" applyFont="1"/>
    <xf numFmtId="10" fontId="20" fillId="0" borderId="0" xfId="44" applyNumberFormat="1" applyFont="1" applyAlignment="1">
      <alignment horizontal="right"/>
    </xf>
    <xf numFmtId="43" fontId="28" fillId="33" borderId="0" xfId="1" applyFont="1" applyFill="1"/>
    <xf numFmtId="43" fontId="21" fillId="0" borderId="0" xfId="2" applyNumberFormat="1" applyFont="1"/>
    <xf numFmtId="0" fontId="24" fillId="46" borderId="0" xfId="0" applyFont="1" applyFill="1"/>
    <xf numFmtId="0" fontId="20" fillId="46" borderId="0" xfId="0" applyFont="1" applyFill="1"/>
    <xf numFmtId="43" fontId="20" fillId="38" borderId="12" xfId="1" applyFont="1" applyFill="1" applyBorder="1"/>
    <xf numFmtId="43" fontId="20" fillId="34" borderId="12" xfId="1" applyFont="1" applyFill="1" applyBorder="1"/>
    <xf numFmtId="0" fontId="20" fillId="41" borderId="12" xfId="0" applyFont="1" applyFill="1" applyBorder="1"/>
    <xf numFmtId="43" fontId="20" fillId="47" borderId="12" xfId="1" applyFont="1" applyFill="1" applyBorder="1"/>
    <xf numFmtId="43" fontId="20" fillId="0" borderId="16" xfId="1" applyFont="1" applyBorder="1"/>
    <xf numFmtId="168" fontId="20" fillId="46" borderId="0" xfId="1" applyNumberFormat="1" applyFont="1" applyFill="1"/>
    <xf numFmtId="0" fontId="29" fillId="42" borderId="0" xfId="0" applyFont="1" applyFill="1" applyAlignment="1">
      <alignment horizontal="center"/>
    </xf>
    <xf numFmtId="0" fontId="29" fillId="42" borderId="0" xfId="0" applyFont="1" applyFill="1"/>
    <xf numFmtId="0" fontId="20" fillId="42" borderId="12" xfId="0" applyFont="1" applyFill="1" applyBorder="1"/>
    <xf numFmtId="43" fontId="20" fillId="42" borderId="12" xfId="1" applyFont="1" applyFill="1" applyBorder="1"/>
    <xf numFmtId="43" fontId="21" fillId="42" borderId="12" xfId="1" applyFont="1" applyFill="1" applyBorder="1"/>
    <xf numFmtId="43" fontId="28" fillId="42" borderId="12" xfId="1" applyFont="1" applyFill="1" applyBorder="1"/>
    <xf numFmtId="0" fontId="0" fillId="42" borderId="0" xfId="0" applyFill="1"/>
    <xf numFmtId="0" fontId="20" fillId="35" borderId="12" xfId="0" applyFont="1" applyFill="1" applyBorder="1"/>
    <xf numFmtId="43" fontId="20" fillId="35" borderId="12" xfId="1" applyFont="1" applyFill="1" applyBorder="1"/>
    <xf numFmtId="43" fontId="21" fillId="35" borderId="12" xfId="1" applyFont="1" applyFill="1" applyBorder="1"/>
    <xf numFmtId="43" fontId="23" fillId="35" borderId="12" xfId="1" applyFont="1" applyFill="1" applyBorder="1"/>
    <xf numFmtId="0" fontId="20" fillId="35" borderId="0" xfId="0" applyFont="1" applyFill="1"/>
    <xf numFmtId="0" fontId="32" fillId="45" borderId="0" xfId="0" applyFont="1" applyFill="1"/>
    <xf numFmtId="0" fontId="32" fillId="0" borderId="0" xfId="0" applyFont="1"/>
    <xf numFmtId="43" fontId="32" fillId="0" borderId="0" xfId="1" applyFont="1"/>
    <xf numFmtId="0" fontId="32" fillId="0" borderId="0" xfId="0" applyFont="1" applyAlignment="1">
      <alignment horizontal="center"/>
    </xf>
    <xf numFmtId="0" fontId="32" fillId="0" borderId="0" xfId="1" applyNumberFormat="1" applyFont="1" applyAlignment="1">
      <alignment horizontal="center"/>
    </xf>
    <xf numFmtId="0" fontId="32" fillId="0" borderId="10" xfId="0" applyFont="1" applyBorder="1" applyAlignment="1">
      <alignment horizontal="center"/>
    </xf>
    <xf numFmtId="0" fontId="33" fillId="45" borderId="0" xfId="0" applyFont="1" applyFill="1"/>
    <xf numFmtId="0" fontId="33" fillId="0" borderId="0" xfId="0" applyFont="1"/>
    <xf numFmtId="0" fontId="32" fillId="0" borderId="0" xfId="0" applyFont="1" applyAlignment="1">
      <alignment horizontal="left" indent="1"/>
    </xf>
    <xf numFmtId="169" fontId="32" fillId="0" borderId="0" xfId="2" applyNumberFormat="1" applyFont="1"/>
    <xf numFmtId="168" fontId="32" fillId="0" borderId="0" xfId="1" applyNumberFormat="1" applyFont="1"/>
    <xf numFmtId="168" fontId="32" fillId="0" borderId="13" xfId="1" applyNumberFormat="1" applyFont="1" applyBorder="1"/>
    <xf numFmtId="168" fontId="32" fillId="0" borderId="0" xfId="1" applyNumberFormat="1" applyFont="1" applyBorder="1"/>
    <xf numFmtId="0" fontId="33" fillId="0" borderId="0" xfId="0" applyFont="1" applyAlignment="1">
      <alignment horizontal="left" indent="2"/>
    </xf>
    <xf numFmtId="0" fontId="33" fillId="0" borderId="0" xfId="0" applyFont="1" applyAlignment="1">
      <alignment horizontal="left" indent="3"/>
    </xf>
    <xf numFmtId="168" fontId="32" fillId="0" borderId="16" xfId="1" applyNumberFormat="1" applyFont="1" applyBorder="1"/>
    <xf numFmtId="169" fontId="32" fillId="0" borderId="11" xfId="2" applyNumberFormat="1" applyFont="1" applyBorder="1"/>
    <xf numFmtId="169" fontId="32" fillId="0" borderId="0" xfId="2" applyNumberFormat="1" applyFont="1" applyBorder="1"/>
    <xf numFmtId="168" fontId="32" fillId="0" borderId="10" xfId="1" applyNumberFormat="1" applyFont="1" applyBorder="1"/>
    <xf numFmtId="168" fontId="32" fillId="0" borderId="0" xfId="1" applyNumberFormat="1" applyFont="1" applyFill="1"/>
    <xf numFmtId="168" fontId="32" fillId="0" borderId="0" xfId="1" applyNumberFormat="1" applyFont="1" applyFill="1" applyBorder="1"/>
    <xf numFmtId="169" fontId="32" fillId="0" borderId="21" xfId="2" applyNumberFormat="1" applyFont="1" applyBorder="1"/>
    <xf numFmtId="9" fontId="22" fillId="0" borderId="12" xfId="44" applyFont="1" applyBorder="1"/>
    <xf numFmtId="0" fontId="0" fillId="0" borderId="10" xfId="0" applyBorder="1" applyAlignment="1">
      <alignment horizontal="center"/>
    </xf>
    <xf numFmtId="0" fontId="0" fillId="0" borderId="0" xfId="1" applyNumberFormat="1" applyFont="1"/>
    <xf numFmtId="43" fontId="0" fillId="0" borderId="11" xfId="1" applyFont="1" applyBorder="1"/>
    <xf numFmtId="43" fontId="0" fillId="33" borderId="0" xfId="1" applyFont="1" applyFill="1"/>
    <xf numFmtId="43" fontId="35" fillId="0" borderId="0" xfId="1" applyFont="1"/>
    <xf numFmtId="0" fontId="0" fillId="0" borderId="0" xfId="0" applyNumberFormat="1"/>
    <xf numFmtId="0" fontId="0" fillId="0" borderId="0" xfId="0" applyAlignment="1">
      <alignment horizontal="left"/>
    </xf>
    <xf numFmtId="0" fontId="16" fillId="0" borderId="0" xfId="0" applyFont="1" applyFill="1"/>
    <xf numFmtId="43" fontId="16" fillId="0" borderId="11" xfId="0" applyNumberFormat="1" applyFont="1" applyFill="1" applyBorder="1"/>
    <xf numFmtId="0" fontId="34" fillId="0" borderId="0" xfId="0" applyFont="1"/>
    <xf numFmtId="43" fontId="14" fillId="33" borderId="12" xfId="1" applyFont="1" applyFill="1" applyBorder="1"/>
  </cellXfs>
  <cellStyles count="45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urrency" xfId="2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44" builtinId="5"/>
    <cellStyle name="Title" xfId="3" builtinId="15" customBuiltin="1"/>
    <cellStyle name="Total" xfId="19" builtinId="25" customBuiltin="1"/>
    <cellStyle name="Warning Text" xfId="16" builtinId="11" customBuiltin="1"/>
  </cellStyles>
  <dxfs count="48">
    <dxf>
      <alignment horizontal="center"/>
    </dxf>
    <dxf>
      <alignment wrapText="1"/>
    </dxf>
    <dxf>
      <alignment horizontal="center"/>
    </dxf>
    <dxf>
      <alignment wrapText="1"/>
    </dxf>
    <dxf>
      <alignment horizontal="center"/>
    </dxf>
    <dxf>
      <alignment horizontal="center"/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auto="1"/>
        </patternFill>
      </fill>
    </dxf>
    <dxf>
      <fill>
        <patternFill>
          <bgColor auto="1"/>
        </patternFill>
      </fill>
    </dxf>
    <dxf>
      <font>
        <b/>
      </font>
    </dxf>
    <dxf>
      <font>
        <b/>
      </font>
    </dxf>
    <dxf>
      <border>
        <top style="thin">
          <color indexed="64"/>
        </top>
        <bottom style="double">
          <color indexed="64"/>
        </bottom>
      </border>
    </dxf>
    <dxf>
      <alignment horizontal="centerContinuous"/>
    </dxf>
    <dxf>
      <alignment horizontal="centerContinuous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numFmt numFmtId="35" formatCode="_(* #,##0.00_);_(* \(#,##0.00\);_(* &quot;-&quot;??_);_(@_)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alignment horizontal="center"/>
    </dxf>
    <dxf>
      <alignment wrapText="1"/>
    </dxf>
    <dxf>
      <alignment wrapText="1"/>
    </dxf>
    <dxf>
      <alignment horizontal="center"/>
    </dxf>
    <dxf>
      <numFmt numFmtId="35" formatCode="_(* #,##0.00_);_(* \(#,##0.00\);_(* &quot;-&quot;??_);_(@_)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Continuous"/>
    </dxf>
    <dxf>
      <alignment horizontal="centerContinuous"/>
    </dxf>
    <dxf>
      <border>
        <top style="thin">
          <color indexed="64"/>
        </top>
        <bottom style="double">
          <color indexed="64"/>
        </bottom>
      </border>
    </dxf>
    <dxf>
      <font>
        <b/>
      </font>
    </dxf>
    <dxf>
      <font>
        <b/>
      </font>
    </dxf>
    <dxf>
      <fill>
        <patternFill>
          <bgColor auto="1"/>
        </patternFill>
      </fill>
    </dxf>
    <dxf>
      <fill>
        <patternFill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center"/>
    </dxf>
    <dxf>
      <alignment horizontal="center"/>
    </dxf>
  </dxfs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pivotCacheDefinition" Target="pivotCache/pivotCacheDefinition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oe Martin" id="{BF88EEBF-2796-4DF7-BB15-3784953D5858}" userId="Joe Martin" providerId="Non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e Martin" refreshedDate="46303.841731365741" createdVersion="8" refreshedVersion="8" minRefreshableVersion="3" recordCount="351" xr:uid="{50742167-E456-40C7-B3E5-23A2838D68B5}">
  <cacheSource type="worksheet">
    <worksheetSource ref="B3:L354" sheet="Master Budget"/>
  </cacheSource>
  <cacheFields count="11">
    <cacheField name="Type" numFmtId="0">
      <sharedItems containsBlank="1" count="6">
        <s v="A"/>
        <s v="L"/>
        <s v="C"/>
        <s v="R"/>
        <s v="E"/>
        <m/>
      </sharedItems>
    </cacheField>
    <cacheField name="Fund" numFmtId="0">
      <sharedItems containsBlank="1" containsMixedTypes="1" containsNumber="1" containsInteger="1" minValue="20" maxValue="53" count="11">
        <s v="20"/>
        <s v="22"/>
        <m/>
        <s v="51"/>
        <s v="52"/>
        <s v="53"/>
        <n v="20" u="1"/>
        <n v="22" u="1"/>
        <n v="51" u="1"/>
        <n v="52" u="1"/>
        <n v="53" u="1"/>
      </sharedItems>
    </cacheField>
    <cacheField name="Grouping Code" numFmtId="0">
      <sharedItems containsString="0" containsBlank="1" containsNumber="1" containsInteger="1" minValue="0" maxValue="29100" count="49">
        <n v="10000"/>
        <n v="10600"/>
        <n v="11500"/>
        <n v="11510"/>
        <n v="14300"/>
        <n v="16320"/>
        <n v="16350"/>
        <n v="16330"/>
        <n v="16500"/>
        <n v="16600"/>
        <n v="16800"/>
        <n v="16900"/>
        <n v="17000"/>
        <n v="17010"/>
        <n v="21100"/>
        <n v="22200"/>
        <n v="28560"/>
        <n v="22520"/>
        <n v="23000"/>
        <m/>
        <n v="28000"/>
        <n v="28510"/>
        <n v="28505"/>
        <n v="28520"/>
        <n v="28521"/>
        <n v="28540"/>
        <n v="28541"/>
        <n v="29100"/>
        <n v="30"/>
        <n v="70"/>
        <n v="960"/>
        <n v="40"/>
        <n v="950"/>
        <n v="60"/>
        <n v="100"/>
        <n v="200"/>
        <n v="500"/>
        <n v="600"/>
        <n v="970"/>
        <n v="620"/>
        <n v="700"/>
        <n v="710"/>
        <n v="720"/>
        <n v="0"/>
        <n v="16200"/>
        <n v="11570"/>
        <n v="16300"/>
        <n v="16310"/>
        <n v="16400"/>
      </sharedItems>
    </cacheField>
    <cacheField name="Grouping Code Name" numFmtId="0">
      <sharedItems containsBlank="1" count="49">
        <s v="Cash and Cash Equivalents"/>
        <s v="Restricted cash and investments"/>
        <s v="Accounts Receivable"/>
        <s v="Property Tax Receivable"/>
        <s v="Prepaid Expenses"/>
        <s v="Equipment"/>
        <s v="Land"/>
        <s v="Building and Improvements"/>
        <s v="Right to use assets"/>
        <s v="Construction In Progress"/>
        <s v="Accumulated Amortization"/>
        <s v="Accumulated Depreciation"/>
        <s v="Net Pension Asset"/>
        <s v="Deferred Outflows - Pensions"/>
        <s v="Accounts Payable"/>
        <s v="Accrued Expenses"/>
        <s v="Net Pension Liability"/>
        <s v="Deferred inflows"/>
        <s v="Unearned Revenue"/>
        <m/>
        <s v="Accrued Interest Payable"/>
        <s v="Notes Payable - Non Current"/>
        <s v="Notes Payable - Current"/>
        <s v="Capital Leases Payable  - Non Current"/>
        <s v="Capital Leases Payable - Current"/>
        <s v="Bonds Payable - Non Current"/>
        <s v="Bonds Payable - Current"/>
        <s v="Unrestricted"/>
        <s v="Charges for services"/>
        <s v="Grant revenue"/>
        <s v="Interest income"/>
        <s v="Miscellaneous income"/>
        <s v="Property Taxes"/>
        <s v="Donations"/>
        <e v="#N/A"/>
        <s v="Salaries and Benefits"/>
        <s v="General and Administrative"/>
        <s v="Repairs and Maintenance"/>
        <s v="Bad Debt"/>
        <s v="Debt Principle Payments"/>
        <s v="Interest Expense"/>
        <s v="Depreciation and Amortization"/>
        <s v="Capital Outlay"/>
        <s v="Gain/Loss on disposal"/>
        <s v="Noncurrent restricted cash and investments"/>
        <s v="Allowance for Uncollectible Accounts Receivable"/>
        <s v="Water Shares"/>
        <s v="Water System"/>
        <s v="Wastewater system"/>
      </sharedItems>
    </cacheField>
    <cacheField name="Grouping No and Name" numFmtId="0">
      <sharedItems containsBlank="1"/>
    </cacheField>
    <cacheField name="New Account Number" numFmtId="0">
      <sharedItems/>
    </cacheField>
    <cacheField name="Account Name" numFmtId="0">
      <sharedItems/>
    </cacheField>
    <cacheField name="2024 Adopted" numFmtId="43">
      <sharedItems containsString="0" containsBlank="1" containsNumber="1" minValue="-5183000" maxValue="5183000"/>
    </cacheField>
    <cacheField name="2024 Amended" numFmtId="43">
      <sharedItems containsString="0" containsBlank="1" containsNumber="1" minValue="-5183000" maxValue="5866000"/>
    </cacheField>
    <cacheField name="2025 Annualized" numFmtId="43">
      <sharedItems containsString="0" containsBlank="1" containsNumber="1" minValue="-4073511.1885714289" maxValue="2314898.1942857141"/>
    </cacheField>
    <cacheField name="2025 Adopted" numFmtId="43">
      <sharedItems containsString="0" containsBlank="1" containsNumber="1" minValue="-8183000" maxValue="14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e Martin" refreshedDate="46303.841731597226" createdVersion="8" refreshedVersion="8" minRefreshableVersion="3" recordCount="386" xr:uid="{5E691F5C-E3C5-4C2C-A4BE-F0AC1E4100ED}">
  <cacheSource type="worksheet">
    <worksheetSource ref="A2:N388" sheet="Budget Data from FS"/>
  </cacheSource>
  <cacheFields count="14">
    <cacheField name="No" numFmtId="0">
      <sharedItems containsSemiMixedTypes="0" containsString="0" containsNumber="1" containsInteger="1" minValue="1" maxValue="392"/>
    </cacheField>
    <cacheField name="Type" numFmtId="0">
      <sharedItems count="5">
        <s v="A"/>
        <s v="L"/>
        <s v="C"/>
        <s v="R"/>
        <s v="E"/>
      </sharedItems>
    </cacheField>
    <cacheField name="Fund" numFmtId="0">
      <sharedItems containsSemiMixedTypes="0" containsString="0" containsNumber="1" containsInteger="1" minValue="20" maxValue="99" count="6">
        <n v="20"/>
        <n v="22"/>
        <n v="51"/>
        <n v="52"/>
        <n v="53"/>
        <n v="99"/>
      </sharedItems>
    </cacheField>
    <cacheField name="Grouping Code" numFmtId="0">
      <sharedItems containsSemiMixedTypes="0" containsString="0" containsNumber="1" containsInteger="1" minValue="30" maxValue="29100"/>
    </cacheField>
    <cacheField name="Grouping Code Name" numFmtId="0">
      <sharedItems/>
    </cacheField>
    <cacheField name="Grouping Code and Name" numFmtId="0">
      <sharedItems count="47">
        <s v="10000 - Cash and Cash Equivalents"/>
        <s v="16200 - Noncurrent restricted cash and investments"/>
        <s v="11500 - Accounts Receivable"/>
        <s v="11510 - Property Tax Receivable"/>
        <s v="14300 - Prepaid Expenses"/>
        <s v="16320 - Equipment"/>
        <s v="16350 - Land"/>
        <s v="16330 - Building and Improvements"/>
        <s v="16500 - Right to use assets"/>
        <s v="16600 - Construction In Progress"/>
        <s v="16800 - Accumulated Amortization"/>
        <s v="16900 - Accumulated Depreciation"/>
        <s v="17000 - Net Pension Asset"/>
        <s v="17010 - Deferred Outflows - Pensions"/>
        <s v="21100 - Accounts Payable"/>
        <s v="22200 - Accrued Expenses"/>
        <s v="28560 - Net Pension Liability"/>
        <s v="22520 - Deferred inflows"/>
        <s v="23000 - Unearned Revenue"/>
        <s v="22250 - Compensated Absences Noncurrent"/>
        <s v="28000 - Accrued Interest Payable"/>
        <s v="28510 - Notes Payable - Noncurrent"/>
        <s v="28505 - Notes Payable - Current"/>
        <s v="28520 - capital Leases Payable  - Noncurrent"/>
        <s v="28521 - capital Leases Payable - Current"/>
        <s v="28540 - Bonds Payable - Noncurrent"/>
        <s v="28541 - Bonds Payable - Current"/>
        <s v="29100 - Unrestricted"/>
        <s v="30 - Charges for services"/>
        <s v="70 - Grant revenue"/>
        <s v="960 - Interest income"/>
        <s v="40 - Miscellaneous income"/>
        <s v="950 - Property Taxes"/>
        <s v="60 - Donations"/>
        <s v="100 - Salaries and Benefits"/>
        <s v="200 - General and Administrative"/>
        <s v="500 - Repairs and Maintenance"/>
        <s v="600 - Bad Debt"/>
        <s v="970 - Debt Principle Payments"/>
        <s v="620 - Interest Expense"/>
        <s v="700 - Depreciation and Amortization"/>
        <s v="710 - capital Outlay"/>
        <s v="720 - Gain/Loss on disposal"/>
        <s v="11570 - Allowance for Uncollectible Accounts Receivable"/>
        <s v="16300 - Water Shares"/>
        <s v="16310 - Water System"/>
        <s v="16400 - Wastewater system"/>
      </sharedItems>
    </cacheField>
    <cacheField name="New Account Number" numFmtId="0">
      <sharedItems/>
    </cacheField>
    <cacheField name="Account Name" numFmtId="0">
      <sharedItems/>
    </cacheField>
    <cacheField name="2025 Audit" numFmtId="43">
      <sharedItems containsSemiMixedTypes="0" containsString="0" containsNumber="1" minValue="-7659654.3099999996" maxValue="9420291.2899999991"/>
    </cacheField>
    <cacheField name="TB 2026-Sept" numFmtId="43">
      <sharedItems containsSemiMixedTypes="0" containsString="0" containsNumber="1" minValue="-13671135.439999999" maxValue="9420291.2899999991"/>
    </cacheField>
    <cacheField name="2026 Projection" numFmtId="43">
      <sharedItems containsString="0" containsBlank="1" containsNumber="1" minValue="-2584287.0666666669" maxValue="1800476.3733333335"/>
    </cacheField>
    <cacheField name="2026 Adopted" numFmtId="43">
      <sharedItems containsString="0" containsBlank="1" containsNumber="1" minValue="-3700000" maxValue="3620000"/>
    </cacheField>
    <cacheField name="2026 Amended" numFmtId="43">
      <sharedItems containsSemiMixedTypes="0" containsString="0" containsNumber="1" minValue="-2619841.59" maxValue="4580000"/>
    </cacheField>
    <cacheField name="2027 Proposed" numFmtId="43">
      <sharedItems containsSemiMixedTypes="0" containsString="0" containsNumber="1" minValue="-1686024" maxValue="159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1">
  <r>
    <x v="0"/>
    <x v="0"/>
    <x v="0"/>
    <x v="0"/>
    <s v="10000 Cash and Cash Equivalents"/>
    <s v="20-10000"/>
    <s v="Cash Combined Fund"/>
    <n v="0"/>
    <n v="0"/>
    <m/>
    <n v="0"/>
  </r>
  <r>
    <x v="0"/>
    <x v="0"/>
    <x v="0"/>
    <x v="0"/>
    <s v="10000 Cash and Cash Equivalents"/>
    <s v="20-10400"/>
    <s v="Petty Cash"/>
    <n v="0"/>
    <n v="0"/>
    <m/>
    <n v="0"/>
  </r>
  <r>
    <x v="0"/>
    <x v="0"/>
    <x v="1"/>
    <x v="1"/>
    <s v="10600 Restricted cash and investments"/>
    <s v="20-10500"/>
    <s v="Restricted Cash"/>
    <n v="0"/>
    <n v="0"/>
    <m/>
    <n v="0"/>
  </r>
  <r>
    <x v="0"/>
    <x v="0"/>
    <x v="0"/>
    <x v="0"/>
    <s v="10000 Cash and Cash Equivalents"/>
    <s v="20-10610"/>
    <s v="0348 PTIF Fire Reserve"/>
    <n v="0"/>
    <n v="0"/>
    <m/>
    <n v="0"/>
  </r>
  <r>
    <x v="0"/>
    <x v="0"/>
    <x v="1"/>
    <x v="1"/>
    <s v="10600 Restricted cash and investments"/>
    <s v="20-10611"/>
    <s v="8554 PTIF Hazmat Reserve"/>
    <n v="0"/>
    <n v="0"/>
    <m/>
    <n v="0"/>
  </r>
  <r>
    <x v="0"/>
    <x v="0"/>
    <x v="2"/>
    <x v="2"/>
    <s v="11500 Accounts Receivable"/>
    <s v="20-11500"/>
    <s v="Accounts Receivable"/>
    <n v="0"/>
    <n v="0"/>
    <m/>
    <n v="0"/>
  </r>
  <r>
    <x v="0"/>
    <x v="0"/>
    <x v="3"/>
    <x v="3"/>
    <s v="11510 Property Tax Receivable"/>
    <s v="20-11520"/>
    <s v="Property Tax Receivable"/>
    <n v="0"/>
    <n v="0"/>
    <m/>
    <n v="0"/>
  </r>
  <r>
    <x v="0"/>
    <x v="0"/>
    <x v="2"/>
    <x v="2"/>
    <s v="11500 Accounts Receivable"/>
    <s v="20-11570"/>
    <s v="Allow for Doubtful Accts"/>
    <n v="0"/>
    <n v="0"/>
    <m/>
    <n v="0"/>
  </r>
  <r>
    <x v="0"/>
    <x v="0"/>
    <x v="4"/>
    <x v="4"/>
    <s v="14300 Prepaid Expenses"/>
    <s v="20-14300"/>
    <s v="Prepaid Expenses"/>
    <n v="0"/>
    <n v="0"/>
    <m/>
    <n v="0"/>
  </r>
  <r>
    <x v="0"/>
    <x v="0"/>
    <x v="5"/>
    <x v="5"/>
    <s v="16320 Equipment"/>
    <s v="20-16000"/>
    <s v="Administrative Equipment"/>
    <n v="0"/>
    <n v="0"/>
    <m/>
    <n v="0"/>
  </r>
  <r>
    <x v="0"/>
    <x v="0"/>
    <x v="6"/>
    <x v="6"/>
    <s v="16350 Land"/>
    <s v="20-16005"/>
    <s v="Land"/>
    <n v="0"/>
    <n v="0"/>
    <m/>
    <n v="0"/>
  </r>
  <r>
    <x v="0"/>
    <x v="0"/>
    <x v="5"/>
    <x v="5"/>
    <s v="16320 Equipment"/>
    <s v="20-16010"/>
    <s v="Fire Equipment"/>
    <n v="0"/>
    <n v="0"/>
    <m/>
    <n v="0"/>
  </r>
  <r>
    <x v="0"/>
    <x v="0"/>
    <x v="5"/>
    <x v="5"/>
    <s v="16320 Equipment"/>
    <s v="20-16020"/>
    <s v="Vehicles"/>
    <n v="0"/>
    <n v="0"/>
    <m/>
    <n v="0"/>
  </r>
  <r>
    <x v="0"/>
    <x v="0"/>
    <x v="7"/>
    <x v="7"/>
    <s v="16330 Building and Improvements"/>
    <s v="20-16030"/>
    <s v="Fire Station"/>
    <n v="0"/>
    <n v="0"/>
    <m/>
    <n v="0"/>
  </r>
  <r>
    <x v="0"/>
    <x v="0"/>
    <x v="7"/>
    <x v="7"/>
    <s v="16330 Building and Improvements"/>
    <s v="20-16035"/>
    <s v="UDOT Hazmat Carport"/>
    <n v="0"/>
    <n v="0"/>
    <m/>
    <n v="0"/>
  </r>
  <r>
    <x v="0"/>
    <x v="0"/>
    <x v="7"/>
    <x v="7"/>
    <s v="16330 Building and Improvements"/>
    <s v="20-16040"/>
    <s v="UDOT Station 2"/>
    <n v="0"/>
    <n v="0"/>
    <m/>
    <n v="0"/>
  </r>
  <r>
    <x v="0"/>
    <x v="0"/>
    <x v="5"/>
    <x v="5"/>
    <s v="16320 Equipment"/>
    <s v="20-16100"/>
    <s v="Fixed Assets"/>
    <n v="0"/>
    <n v="0"/>
    <m/>
    <n v="0"/>
  </r>
  <r>
    <x v="0"/>
    <x v="0"/>
    <x v="8"/>
    <x v="8"/>
    <s v="16500 Right to use assets"/>
    <s v="20-16500"/>
    <s v="RUA - Equipment"/>
    <n v="0"/>
    <n v="0"/>
    <m/>
    <n v="0"/>
  </r>
  <r>
    <x v="0"/>
    <x v="0"/>
    <x v="8"/>
    <x v="8"/>
    <s v="16500 Right to use assets"/>
    <s v="20-16505"/>
    <s v="RUA - Buildings and Improvements"/>
    <n v="0"/>
    <n v="0"/>
    <m/>
    <n v="0"/>
  </r>
  <r>
    <x v="0"/>
    <x v="0"/>
    <x v="9"/>
    <x v="9"/>
    <s v="16600 Construction In Progress"/>
    <s v="20-16600"/>
    <s v="Construction in Progress"/>
    <n v="0"/>
    <n v="0"/>
    <m/>
    <n v="0"/>
  </r>
  <r>
    <x v="0"/>
    <x v="0"/>
    <x v="10"/>
    <x v="10"/>
    <s v="16800 Accumulated Amortization"/>
    <s v="20-16800"/>
    <s v="Accumulated Amortization"/>
    <n v="0"/>
    <n v="0"/>
    <m/>
    <n v="0"/>
  </r>
  <r>
    <x v="0"/>
    <x v="0"/>
    <x v="11"/>
    <x v="11"/>
    <s v="16900 Accumulated Depreciation"/>
    <s v="20-16900"/>
    <s v="Accumulated Depreciation"/>
    <n v="0"/>
    <n v="0"/>
    <m/>
    <n v="0"/>
  </r>
  <r>
    <x v="0"/>
    <x v="0"/>
    <x v="12"/>
    <x v="12"/>
    <s v="17000 Net Pension Asset"/>
    <s v="20-17000"/>
    <s v="Net Pension Asset"/>
    <n v="0"/>
    <n v="0"/>
    <m/>
    <n v="0"/>
  </r>
  <r>
    <x v="0"/>
    <x v="0"/>
    <x v="13"/>
    <x v="13"/>
    <s v="17010 Deferred Outflows - Pensions"/>
    <s v="20-17010"/>
    <s v="Deferred Outflows-Pensions"/>
    <n v="0"/>
    <n v="0"/>
    <m/>
    <n v="0"/>
  </r>
  <r>
    <x v="0"/>
    <x v="0"/>
    <x v="13"/>
    <x v="13"/>
    <s v="17010 Deferred Outflows - Pensions"/>
    <s v="20-19000"/>
    <s v="Suspense"/>
    <n v="0"/>
    <n v="0"/>
    <m/>
    <n v="0"/>
  </r>
  <r>
    <x v="1"/>
    <x v="0"/>
    <x v="14"/>
    <x v="14"/>
    <s v="21100 Accounts Payable"/>
    <s v="20-21100"/>
    <s v="Accounts Payable"/>
    <n v="0"/>
    <n v="0"/>
    <m/>
    <n v="0"/>
  </r>
  <r>
    <x v="1"/>
    <x v="0"/>
    <x v="15"/>
    <x v="15"/>
    <s v="22200 Accrued Expenses"/>
    <s v="20-22200"/>
    <s v="Salaries &amp; Wages Payable"/>
    <n v="0"/>
    <n v="0"/>
    <m/>
    <n v="0"/>
  </r>
  <r>
    <x v="1"/>
    <x v="0"/>
    <x v="15"/>
    <x v="15"/>
    <s v="22200 Accrued Expenses"/>
    <s v="20-22210"/>
    <s v="Payroll Taxes Payable"/>
    <n v="0"/>
    <n v="0"/>
    <m/>
    <n v="0"/>
  </r>
  <r>
    <x v="1"/>
    <x v="0"/>
    <x v="15"/>
    <x v="15"/>
    <s v="22200 Accrued Expenses"/>
    <s v="20-22500"/>
    <s v="Retirement Payable"/>
    <n v="0"/>
    <n v="0"/>
    <m/>
    <n v="0"/>
  </r>
  <r>
    <x v="1"/>
    <x v="0"/>
    <x v="16"/>
    <x v="16"/>
    <s v="28560 Net Pension Liability"/>
    <s v="20-22510"/>
    <s v="Net Pension Liability"/>
    <n v="0"/>
    <n v="0"/>
    <m/>
    <n v="0"/>
  </r>
  <r>
    <x v="1"/>
    <x v="0"/>
    <x v="17"/>
    <x v="17"/>
    <s v="22520 Deferred inflows"/>
    <s v="20-22520"/>
    <s v="Deferred Inflows-Pensions"/>
    <n v="0"/>
    <n v="0"/>
    <m/>
    <n v="0"/>
  </r>
  <r>
    <x v="1"/>
    <x v="0"/>
    <x v="15"/>
    <x v="15"/>
    <s v="22200 Accrued Expenses"/>
    <s v="20-22600"/>
    <s v="Payroll Benefits Payable"/>
    <n v="0"/>
    <n v="0"/>
    <m/>
    <n v="0"/>
  </r>
  <r>
    <x v="1"/>
    <x v="0"/>
    <x v="15"/>
    <x v="15"/>
    <s v="22200 Accrued Expenses"/>
    <s v="20-22700"/>
    <s v="Worker's Comp Payable"/>
    <n v="0"/>
    <n v="0"/>
    <m/>
    <n v="0"/>
  </r>
  <r>
    <x v="1"/>
    <x v="0"/>
    <x v="15"/>
    <x v="15"/>
    <s v="22200 Accrued Expenses"/>
    <s v="20-22800"/>
    <s v="Flex/LTD Payable"/>
    <n v="0"/>
    <n v="0"/>
    <m/>
    <n v="0"/>
  </r>
  <r>
    <x v="1"/>
    <x v="0"/>
    <x v="18"/>
    <x v="18"/>
    <s v="23000 Unearned Revenue"/>
    <s v="20-23000"/>
    <s v="Unearned Revenue"/>
    <n v="0"/>
    <n v="0"/>
    <m/>
    <n v="0"/>
  </r>
  <r>
    <x v="1"/>
    <x v="0"/>
    <x v="15"/>
    <x v="15"/>
    <s v="22200 Accrued Expenses"/>
    <s v="20-25100"/>
    <s v="Accrued Vacation"/>
    <n v="0"/>
    <n v="0"/>
    <m/>
    <n v="0"/>
  </r>
  <r>
    <x v="1"/>
    <x v="0"/>
    <x v="19"/>
    <x v="19"/>
    <s v=" "/>
    <s v="20-25150"/>
    <s v="Accrued Sick Pay"/>
    <n v="0"/>
    <n v="0"/>
    <m/>
    <n v="0"/>
  </r>
  <r>
    <x v="1"/>
    <x v="0"/>
    <x v="20"/>
    <x v="20"/>
    <s v="28000 Accrued Interest Payable"/>
    <s v="20-28000"/>
    <s v="Accrued Interest Payable"/>
    <n v="0"/>
    <n v="0"/>
    <m/>
    <n v="0"/>
  </r>
  <r>
    <x v="1"/>
    <x v="0"/>
    <x v="21"/>
    <x v="21"/>
    <s v="28510 Notes Payable - Non Current"/>
    <s v="20-28510"/>
    <s v="Zions Bank - Station 2 Note"/>
    <n v="0"/>
    <n v="0"/>
    <m/>
    <n v="0"/>
  </r>
  <r>
    <x v="1"/>
    <x v="0"/>
    <x v="22"/>
    <x v="22"/>
    <s v="28505 Notes Payable - Current"/>
    <s v="20-28511"/>
    <s v="Note Current Portion"/>
    <n v="0"/>
    <n v="0"/>
    <m/>
    <n v="0"/>
  </r>
  <r>
    <x v="1"/>
    <x v="0"/>
    <x v="23"/>
    <x v="23"/>
    <s v="28520 Capital Leases Payable  - Non Current"/>
    <s v="20-28520"/>
    <s v="Oshkosh Capital - Fire Tender"/>
    <n v="0"/>
    <n v="0"/>
    <m/>
    <n v="0"/>
  </r>
  <r>
    <x v="1"/>
    <x v="0"/>
    <x v="24"/>
    <x v="24"/>
    <s v="28521 Capital Leases Payable - Current"/>
    <s v="20-28521"/>
    <s v="Lease Current Portion"/>
    <n v="0"/>
    <n v="0"/>
    <m/>
    <n v="0"/>
  </r>
  <r>
    <x v="1"/>
    <x v="0"/>
    <x v="22"/>
    <x v="22"/>
    <s v="28505 Notes Payable - Current"/>
    <s v="20-28551"/>
    <s v="Lease Current Portion"/>
    <n v="0"/>
    <n v="0"/>
    <m/>
    <n v="0"/>
  </r>
  <r>
    <x v="1"/>
    <x v="0"/>
    <x v="25"/>
    <x v="25"/>
    <s v="28540 Bonds Payable - Non Current"/>
    <s v="20-28560"/>
    <s v="Station Expansion Bond Payable"/>
    <n v="0"/>
    <n v="0"/>
    <m/>
    <n v="0"/>
  </r>
  <r>
    <x v="1"/>
    <x v="0"/>
    <x v="26"/>
    <x v="26"/>
    <s v="28541 Bonds Payable - Current"/>
    <s v="20-28561"/>
    <s v="Station Bond Current Portion"/>
    <n v="0"/>
    <n v="0"/>
    <m/>
    <n v="0"/>
  </r>
  <r>
    <x v="1"/>
    <x v="0"/>
    <x v="21"/>
    <x v="21"/>
    <s v="28510 Notes Payable - Non Current"/>
    <s v="20-28570"/>
    <s v="Ambulance Lease"/>
    <n v="0"/>
    <n v="0"/>
    <m/>
    <n v="0"/>
  </r>
  <r>
    <x v="2"/>
    <x v="0"/>
    <x v="27"/>
    <x v="27"/>
    <s v="29100 Unrestricted"/>
    <s v="20-29100"/>
    <s v="Fund Balance"/>
    <n v="0"/>
    <n v="0"/>
    <m/>
    <n v="0"/>
  </r>
  <r>
    <x v="3"/>
    <x v="0"/>
    <x v="28"/>
    <x v="28"/>
    <s v="30 Charges for services"/>
    <s v="20-30-200"/>
    <s v="Fire Response"/>
    <n v="0"/>
    <n v="0"/>
    <m/>
    <n v="0"/>
  </r>
  <r>
    <x v="3"/>
    <x v="0"/>
    <x v="28"/>
    <x v="28"/>
    <s v="30 Charges for services"/>
    <s v="20-30-400"/>
    <s v="Fire Fees"/>
    <n v="-815780"/>
    <n v="-815780"/>
    <n v="-1251200.6400000001"/>
    <n v="-815780"/>
  </r>
  <r>
    <x v="3"/>
    <x v="0"/>
    <x v="29"/>
    <x v="29"/>
    <s v="70 Grant revenue"/>
    <s v="20-30-410"/>
    <s v="Fire/EMS Grants"/>
    <n v="-20000"/>
    <n v="-107000"/>
    <n v="-5912.5714285714284"/>
    <n v="-107000"/>
  </r>
  <r>
    <x v="3"/>
    <x v="0"/>
    <x v="28"/>
    <x v="28"/>
    <s v="30 Charges for services"/>
    <s v="20-30-425"/>
    <s v="Ambulance Income"/>
    <n v="-135000"/>
    <n v="-135000"/>
    <n v="-110513.05714285714"/>
    <n v="-135000"/>
  </r>
  <r>
    <x v="3"/>
    <x v="0"/>
    <x v="30"/>
    <x v="30"/>
    <s v="960 Interest income"/>
    <s v="20-30-470"/>
    <s v="Interest &amp; Finance Charges"/>
    <n v="-14000"/>
    <n v="-14000"/>
    <n v="-5567.5371428571434"/>
    <n v="-14000"/>
  </r>
  <r>
    <x v="3"/>
    <x v="0"/>
    <x v="31"/>
    <x v="31"/>
    <s v="40 Miscellaneous income"/>
    <s v="20-30-475"/>
    <s v="Other Income"/>
    <n v="-1000"/>
    <n v="-1300"/>
    <n v="0"/>
    <n v="-1300"/>
  </r>
  <r>
    <x v="3"/>
    <x v="0"/>
    <x v="32"/>
    <x v="32"/>
    <s v="950 Property Taxes"/>
    <s v="20-30-500"/>
    <s v="Property Tax Income"/>
    <n v="-85000"/>
    <n v="-85000"/>
    <n v="-11832.188571428571"/>
    <n v="-85000"/>
  </r>
  <r>
    <x v="3"/>
    <x v="0"/>
    <x v="30"/>
    <x v="30"/>
    <s v="960 Interest income"/>
    <s v="20-30-505"/>
    <s v="Interest on Investments"/>
    <n v="-5000"/>
    <n v="-25000"/>
    <n v="-43265.38285714286"/>
    <n v="-25000"/>
  </r>
  <r>
    <x v="3"/>
    <x v="0"/>
    <x v="33"/>
    <x v="33"/>
    <s v="60 Donations"/>
    <s v="20-30-510"/>
    <s v="Donations and Fund Raising"/>
    <n v="-15000"/>
    <n v="-15000"/>
    <n v="-21453.805714285714"/>
    <n v="-15000"/>
  </r>
  <r>
    <x v="3"/>
    <x v="0"/>
    <x v="28"/>
    <x v="28"/>
    <s v="30 Charges for services"/>
    <s v="20-30-520"/>
    <s v="Contract Fees - Utah County"/>
    <n v="-80000"/>
    <n v="-80000"/>
    <n v="-151947.78857142857"/>
    <n v="-80000"/>
  </r>
  <r>
    <x v="3"/>
    <x v="0"/>
    <x v="19"/>
    <x v="34"/>
    <e v="#N/A"/>
    <s v="20-30-525"/>
    <s v="Transfer from Capital Reserves"/>
    <n v="0"/>
    <n v="0"/>
    <m/>
    <n v="0"/>
  </r>
  <r>
    <x v="4"/>
    <x v="0"/>
    <x v="34"/>
    <x v="35"/>
    <s v="100 Salaries and Benefits"/>
    <s v="20-45-600"/>
    <s v="Salaries &amp; Wages"/>
    <n v="652549.8666666667"/>
    <n v="652549.87"/>
    <n v="996928.32000000007"/>
    <n v="746500"/>
  </r>
  <r>
    <x v="4"/>
    <x v="0"/>
    <x v="34"/>
    <x v="35"/>
    <s v="100 Salaries and Benefits"/>
    <s v="20-45-601"/>
    <s v="Payroll Taxes"/>
    <n v="49920.0648"/>
    <n v="49920.06"/>
    <n v="76934.091428571439"/>
    <n v="57107.25"/>
  </r>
  <r>
    <x v="4"/>
    <x v="0"/>
    <x v="34"/>
    <x v="35"/>
    <s v="100 Salaries and Benefits"/>
    <s v="20-45-602"/>
    <s v="Retirement"/>
    <n v="101623.32"/>
    <n v="101623.32"/>
    <n v="200500.18285714285"/>
    <n v="112500"/>
  </r>
  <r>
    <x v="4"/>
    <x v="0"/>
    <x v="34"/>
    <x v="35"/>
    <s v="100 Salaries and Benefits"/>
    <s v="20-45-603"/>
    <s v="Medical, LTD, Life, AD&amp;D"/>
    <n v="178874.60622222224"/>
    <n v="178874.61"/>
    <n v="178280.67428571428"/>
    <n v="236063.5"/>
  </r>
  <r>
    <x v="4"/>
    <x v="0"/>
    <x v="34"/>
    <x v="35"/>
    <s v="100 Salaries and Benefits"/>
    <s v="20-45-604"/>
    <s v="Worker's Compensation"/>
    <n v="17162.061493333335"/>
    <n v="17162.060000000001"/>
    <n v="14915.228571428568"/>
    <n v="14930"/>
  </r>
  <r>
    <x v="4"/>
    <x v="0"/>
    <x v="34"/>
    <x v="35"/>
    <s v="100 Salaries and Benefits"/>
    <s v="20-45-607"/>
    <s v="Vacation/Sick/Holiday"/>
    <n v="0"/>
    <n v="39000"/>
    <n v="18288.84"/>
    <n v="20000"/>
  </r>
  <r>
    <x v="4"/>
    <x v="0"/>
    <x v="34"/>
    <x v="35"/>
    <s v="100 Salaries and Benefits"/>
    <s v="20-45-608"/>
    <s v="Flex Plan"/>
    <n v="11"/>
    <n v="130"/>
    <n v="122.88"/>
    <n v="36"/>
  </r>
  <r>
    <x v="4"/>
    <x v="0"/>
    <x v="34"/>
    <x v="35"/>
    <s v="100 Salaries and Benefits"/>
    <s v="20-45-609"/>
    <s v="Employee/Volunteer Incentives"/>
    <n v="0"/>
    <n v="5000"/>
    <n v="1086.8914285714286"/>
    <n v="5000"/>
  </r>
  <r>
    <x v="4"/>
    <x v="0"/>
    <x v="34"/>
    <x v="35"/>
    <s v="100 Salaries and Benefits"/>
    <s v="20-45-610"/>
    <s v="Volunteer Recruitment"/>
    <n v="0"/>
    <n v="50000"/>
    <n v="1895.4685714285715"/>
    <n v="47225"/>
  </r>
  <r>
    <x v="4"/>
    <x v="0"/>
    <x v="35"/>
    <x v="36"/>
    <s v="200 General and Administrative"/>
    <s v="20-45-612"/>
    <s v="Supplies"/>
    <n v="20000"/>
    <n v="20000"/>
    <n v="21067.971428571429"/>
    <n v="20000"/>
  </r>
  <r>
    <x v="4"/>
    <x v="0"/>
    <x v="35"/>
    <x v="36"/>
    <s v="200 General and Administrative"/>
    <s v="20-45-614"/>
    <s v="Medical Supplies &amp; Equipment"/>
    <n v="10000"/>
    <n v="21000"/>
    <n v="27890.982857142855"/>
    <n v="20000"/>
  </r>
  <r>
    <x v="4"/>
    <x v="0"/>
    <x v="35"/>
    <x v="36"/>
    <s v="200 General and Administrative"/>
    <s v="20-45-615"/>
    <s v="Dues and Subscriptions"/>
    <n v="22000"/>
    <n v="24000"/>
    <n v="63460.937142857147"/>
    <n v="22000"/>
  </r>
  <r>
    <x v="4"/>
    <x v="0"/>
    <x v="35"/>
    <x v="36"/>
    <s v="200 General and Administrative"/>
    <s v="20-45-617"/>
    <s v="Dispatch Assesment"/>
    <n v="0"/>
    <n v="0"/>
    <m/>
    <n v="0"/>
  </r>
  <r>
    <x v="4"/>
    <x v="0"/>
    <x v="35"/>
    <x v="36"/>
    <s v="200 General and Administrative"/>
    <s v="20-45-618"/>
    <s v="Accounting Services"/>
    <n v="7500"/>
    <n v="7500"/>
    <n v="12717.651428571429"/>
    <n v="7500"/>
  </r>
  <r>
    <x v="4"/>
    <x v="0"/>
    <x v="35"/>
    <x v="36"/>
    <s v="200 General and Administrative"/>
    <s v="20-45-619"/>
    <s v="IT Services"/>
    <n v="5000"/>
    <n v="5000"/>
    <n v="5188.5257142857135"/>
    <n v="8000"/>
  </r>
  <r>
    <x v="4"/>
    <x v="0"/>
    <x v="35"/>
    <x v="36"/>
    <s v="200 General and Administrative"/>
    <s v="20-45-620"/>
    <s v="Software"/>
    <n v="2000"/>
    <n v="4600"/>
    <n v="4342.8857142857141"/>
    <n v="4000"/>
  </r>
  <r>
    <x v="4"/>
    <x v="0"/>
    <x v="35"/>
    <x v="36"/>
    <s v="200 General and Administrative"/>
    <s v="20-45-621"/>
    <s v="Engineering Services"/>
    <n v="35000"/>
    <n v="35000"/>
    <n v="5412.8571428571431"/>
    <n v="35000"/>
  </r>
  <r>
    <x v="4"/>
    <x v="0"/>
    <x v="35"/>
    <x v="36"/>
    <s v="200 General and Administrative"/>
    <s v="20-45-622"/>
    <s v="Legal Services"/>
    <n v="1000"/>
    <n v="8000"/>
    <n v="8564.2114285714288"/>
    <n v="5000"/>
  </r>
  <r>
    <x v="4"/>
    <x v="0"/>
    <x v="35"/>
    <x v="36"/>
    <s v="200 General and Administrative"/>
    <s v="20-45-623"/>
    <s v="Advertising"/>
    <n v="250"/>
    <n v="250"/>
    <n v="0"/>
    <n v="250"/>
  </r>
  <r>
    <x v="4"/>
    <x v="0"/>
    <x v="35"/>
    <x v="36"/>
    <s v="200 General and Administrative"/>
    <s v="20-45-624"/>
    <s v="UDOT Station 2 Electricity"/>
    <n v="500"/>
    <n v="500"/>
    <n v="849.84000000000015"/>
    <n v="500"/>
  </r>
  <r>
    <x v="4"/>
    <x v="0"/>
    <x v="35"/>
    <x v="36"/>
    <s v="200 General and Administrative"/>
    <s v="20-45-625"/>
    <s v="Special Studies"/>
    <m/>
    <n v="0"/>
    <m/>
    <n v="0"/>
  </r>
  <r>
    <x v="4"/>
    <x v="0"/>
    <x v="35"/>
    <x v="36"/>
    <s v="200 General and Administrative"/>
    <s v="20-45-629"/>
    <s v="Utilities-Communications"/>
    <n v="4000"/>
    <n v="8000"/>
    <n v="10661.228571428572"/>
    <n v="8000"/>
  </r>
  <r>
    <x v="4"/>
    <x v="0"/>
    <x v="35"/>
    <x v="36"/>
    <s v="200 General and Administrative"/>
    <s v="20-45-630"/>
    <s v="Telephone"/>
    <n v="0"/>
    <n v="0"/>
    <m/>
    <n v="0"/>
  </r>
  <r>
    <x v="4"/>
    <x v="0"/>
    <x v="35"/>
    <x v="36"/>
    <s v="200 General and Administrative"/>
    <s v="20-45-632"/>
    <s v="Propane Station 2"/>
    <n v="3000"/>
    <n v="4500"/>
    <n v="2480.9142857142861"/>
    <n v="4500"/>
  </r>
  <r>
    <x v="4"/>
    <x v="0"/>
    <x v="35"/>
    <x v="36"/>
    <s v="200 General and Administrative"/>
    <s v="20-45-635"/>
    <s v="Insurance"/>
    <n v="18000"/>
    <n v="20000"/>
    <n v="38632.234285714287"/>
    <n v="18000"/>
  </r>
  <r>
    <x v="4"/>
    <x v="0"/>
    <x v="35"/>
    <x v="36"/>
    <s v="200 General and Administrative"/>
    <s v="20-45-636"/>
    <s v="Rent"/>
    <n v="0"/>
    <n v="0"/>
    <m/>
    <n v="0"/>
  </r>
  <r>
    <x v="4"/>
    <x v="0"/>
    <x v="36"/>
    <x v="37"/>
    <s v="500 Repairs and Maintenance"/>
    <s v="20-45-638"/>
    <s v="Repairs &amp; Maintenance"/>
    <n v="0"/>
    <n v="1500"/>
    <n v="1062.8571428571429"/>
    <n v="1500"/>
  </r>
  <r>
    <x v="4"/>
    <x v="0"/>
    <x v="35"/>
    <x v="36"/>
    <s v="200 General and Administrative"/>
    <s v="20-45-653"/>
    <s v="DOH Assessment"/>
    <n v="0"/>
    <n v="0"/>
    <m/>
    <n v="0"/>
  </r>
  <r>
    <x v="4"/>
    <x v="0"/>
    <x v="36"/>
    <x v="37"/>
    <s v="500 Repairs and Maintenance"/>
    <s v="20-45-654"/>
    <s v="Vehicles Repairs &amp; Maintenance"/>
    <n v="25000"/>
    <n v="25000"/>
    <n v="15961.217142857142"/>
    <n v="25000"/>
  </r>
  <r>
    <x v="4"/>
    <x v="0"/>
    <x v="36"/>
    <x v="37"/>
    <s v="500 Repairs and Maintenance"/>
    <s v="20-45-658"/>
    <s v="Vehicle Fuel"/>
    <n v="8000"/>
    <n v="8000"/>
    <n v="8311.062857142857"/>
    <n v="8000"/>
  </r>
  <r>
    <x v="4"/>
    <x v="0"/>
    <x v="36"/>
    <x v="37"/>
    <s v="500 Repairs and Maintenance"/>
    <s v="20-45-659"/>
    <s v="Building Maintenance"/>
    <n v="10000"/>
    <n v="10000"/>
    <n v="11516.794285714286"/>
    <n v="20000"/>
  </r>
  <r>
    <x v="4"/>
    <x v="0"/>
    <x v="36"/>
    <x v="37"/>
    <s v="500 Repairs and Maintenance"/>
    <s v="20-45-661"/>
    <s v="Cleaning"/>
    <n v="0"/>
    <n v="0"/>
    <m/>
    <n v="0"/>
  </r>
  <r>
    <x v="4"/>
    <x v="0"/>
    <x v="37"/>
    <x v="38"/>
    <s v="600 Bad Debt"/>
    <s v="20-45-664"/>
    <s v="Bad Debt Expense"/>
    <n v="0"/>
    <n v="0"/>
    <m/>
    <n v="0"/>
  </r>
  <r>
    <x v="4"/>
    <x v="0"/>
    <x v="35"/>
    <x v="36"/>
    <s v="200 General and Administrative"/>
    <s v="20-45-666"/>
    <s v="Station 2 Lease"/>
    <n v="12530"/>
    <n v="12531"/>
    <n v="0"/>
    <n v="12531"/>
  </r>
  <r>
    <x v="4"/>
    <x v="0"/>
    <x v="35"/>
    <x v="36"/>
    <s v="200 General and Administrative"/>
    <s v="20-45-669"/>
    <s v="Fire Trucks Leases"/>
    <n v="0"/>
    <n v="0"/>
    <m/>
    <n v="0"/>
  </r>
  <r>
    <x v="4"/>
    <x v="0"/>
    <x v="35"/>
    <x v="36"/>
    <s v="200 General and Administrative"/>
    <s v="20-45-670"/>
    <s v="Ambulance Lease"/>
    <n v="6600"/>
    <n v="6600"/>
    <n v="0"/>
    <n v="6600"/>
  </r>
  <r>
    <x v="4"/>
    <x v="0"/>
    <x v="35"/>
    <x v="36"/>
    <s v="200 General and Administrative"/>
    <s v="20-45-671"/>
    <s v="Truck Lease"/>
    <n v="6500"/>
    <n v="6500"/>
    <n v="0"/>
    <n v="0"/>
  </r>
  <r>
    <x v="4"/>
    <x v="0"/>
    <x v="38"/>
    <x v="39"/>
    <s v="970 Debt Principle Payments"/>
    <s v="20-45-672"/>
    <s v="Station Expansion Bond"/>
    <n v="0"/>
    <n v="0"/>
    <m/>
    <n v="0"/>
  </r>
  <r>
    <x v="4"/>
    <x v="0"/>
    <x v="39"/>
    <x v="40"/>
    <s v="620 Interest Expense"/>
    <s v="20-45-674"/>
    <s v="Interest Expense"/>
    <n v="9000"/>
    <n v="9000"/>
    <n v="0"/>
    <n v="9000"/>
  </r>
  <r>
    <x v="4"/>
    <x v="0"/>
    <x v="35"/>
    <x v="36"/>
    <s v="200 General and Administrative"/>
    <s v="20-45-675"/>
    <s v="Bank Fees/CC Processing Fees"/>
    <n v="10000"/>
    <n v="11000"/>
    <n v="10611.051428571427"/>
    <n v="10000"/>
  </r>
  <r>
    <x v="4"/>
    <x v="0"/>
    <x v="35"/>
    <x v="36"/>
    <s v="200 General and Administrative"/>
    <s v="20-45-677"/>
    <s v="Travel/Conf/Meals"/>
    <n v="4500"/>
    <n v="4500"/>
    <n v="273.54857142857145"/>
    <n v="4500"/>
  </r>
  <r>
    <x v="4"/>
    <x v="0"/>
    <x v="35"/>
    <x v="36"/>
    <s v="200 General and Administrative"/>
    <s v="20-45-678"/>
    <s v="Meals"/>
    <n v="0"/>
    <n v="0"/>
    <m/>
    <n v="0"/>
  </r>
  <r>
    <x v="4"/>
    <x v="0"/>
    <x v="35"/>
    <x v="36"/>
    <s v="200 General and Administrative"/>
    <s v="20-45-680"/>
    <s v="Collections Expense"/>
    <n v="0"/>
    <n v="0"/>
    <m/>
    <n v="0"/>
  </r>
  <r>
    <x v="4"/>
    <x v="0"/>
    <x v="35"/>
    <x v="36"/>
    <s v="200 General and Administrative"/>
    <s v="20-45-681"/>
    <s v="Training"/>
    <n v="6000"/>
    <n v="9300"/>
    <n v="11778.291428571429"/>
    <n v="8000"/>
  </r>
  <r>
    <x v="4"/>
    <x v="0"/>
    <x v="35"/>
    <x v="36"/>
    <s v="200 General and Administrative"/>
    <s v="20-45-682"/>
    <s v="Grant Recruitment/Retention"/>
    <n v="5000"/>
    <n v="5000"/>
    <n v="0"/>
    <n v="5000"/>
  </r>
  <r>
    <x v="4"/>
    <x v="0"/>
    <x v="35"/>
    <x v="36"/>
    <s v="200 General and Administrative"/>
    <s v="20-45-683"/>
    <s v="License &amp; Certification"/>
    <n v="2000"/>
    <n v="2000"/>
    <n v="1156.7828571428572"/>
    <n v="2000"/>
  </r>
  <r>
    <x v="4"/>
    <x v="0"/>
    <x v="35"/>
    <x v="36"/>
    <s v="200 General and Administrative"/>
    <s v="20-45-685"/>
    <s v="Fund Raising"/>
    <n v="0"/>
    <n v="2400"/>
    <n v="5762.3657142857146"/>
    <n v="0"/>
  </r>
  <r>
    <x v="4"/>
    <x v="0"/>
    <x v="35"/>
    <x v="36"/>
    <s v="200 General and Administrative"/>
    <s v="20-45-687"/>
    <s v="Evacuation Equip &amp; Supplies"/>
    <n v="0"/>
    <n v="0"/>
    <m/>
    <n v="0"/>
  </r>
  <r>
    <x v="4"/>
    <x v="0"/>
    <x v="40"/>
    <x v="41"/>
    <s v="700 Depreciation and Amortization"/>
    <s v="20-45-688"/>
    <s v="Depreciation"/>
    <n v="110000"/>
    <n v="110000"/>
    <n v="79740.857142857145"/>
    <n v="110000"/>
  </r>
  <r>
    <x v="4"/>
    <x v="0"/>
    <x v="41"/>
    <x v="42"/>
    <s v="710 Capital Outlay"/>
    <s v="20-45-690"/>
    <s v="Capital Outlay"/>
    <n v="40000"/>
    <n v="0"/>
    <n v="0"/>
    <n v="14000000"/>
  </r>
  <r>
    <x v="4"/>
    <x v="0"/>
    <x v="41"/>
    <x v="42"/>
    <s v="710 Capital Outlay"/>
    <s v="20-45-691"/>
    <s v="Capital Equipment"/>
    <n v="0"/>
    <n v="40000"/>
    <n v="0"/>
    <n v="295000"/>
  </r>
  <r>
    <x v="4"/>
    <x v="0"/>
    <x v="35"/>
    <x v="36"/>
    <s v="200 General and Administrative"/>
    <s v="20-45-694"/>
    <s v="Clothing &amp; Protective Gear"/>
    <n v="50000"/>
    <n v="50000"/>
    <n v="8633.3314285714278"/>
    <n v="50000"/>
  </r>
  <r>
    <x v="4"/>
    <x v="0"/>
    <x v="35"/>
    <x v="36"/>
    <s v="200 General and Administrative"/>
    <s v="20-45-695"/>
    <s v="Hoses"/>
    <n v="0"/>
    <n v="0"/>
    <m/>
    <n v="0"/>
  </r>
  <r>
    <x v="4"/>
    <x v="0"/>
    <x v="35"/>
    <x v="36"/>
    <s v="200 General and Administrative"/>
    <s v="20-45-696"/>
    <s v="Radios &amp; Pagers"/>
    <n v="40000"/>
    <n v="40000"/>
    <n v="32892.479999999996"/>
    <n v="40000"/>
  </r>
  <r>
    <x v="4"/>
    <x v="0"/>
    <x v="42"/>
    <x v="43"/>
    <s v="720 Gain/Loss on disposal"/>
    <s v="20-45-697"/>
    <s v="Loss on Disposal of Fix Asset"/>
    <n v="0"/>
    <n v="0"/>
    <m/>
    <n v="0"/>
  </r>
  <r>
    <x v="0"/>
    <x v="1"/>
    <x v="0"/>
    <x v="0"/>
    <s v="10000 Cash and Cash Equivalents"/>
    <s v="22-10000"/>
    <s v="Cash Combined Fund"/>
    <n v="0"/>
    <n v="0"/>
    <m/>
    <n v="0"/>
  </r>
  <r>
    <x v="0"/>
    <x v="1"/>
    <x v="1"/>
    <x v="1"/>
    <s v="10600 Restricted cash and investments"/>
    <s v="22-10500"/>
    <s v="Restricted Cash"/>
    <n v="0"/>
    <n v="0"/>
    <m/>
    <n v="0"/>
  </r>
  <r>
    <x v="0"/>
    <x v="1"/>
    <x v="2"/>
    <x v="2"/>
    <s v="11500 Accounts Receivable"/>
    <s v="22-11500"/>
    <s v="Accounts Receivable"/>
    <n v="0"/>
    <n v="0"/>
    <m/>
    <n v="0"/>
  </r>
  <r>
    <x v="0"/>
    <x v="1"/>
    <x v="5"/>
    <x v="5"/>
    <s v="16320 Equipment"/>
    <s v="22-16010"/>
    <s v="Fire Equipment"/>
    <n v="0"/>
    <n v="0"/>
    <m/>
    <n v="0"/>
  </r>
  <r>
    <x v="0"/>
    <x v="1"/>
    <x v="11"/>
    <x v="11"/>
    <s v="16900 Accumulated Depreciation"/>
    <s v="22-16900"/>
    <s v="Accumulated Depreciation"/>
    <n v="0"/>
    <n v="0"/>
    <m/>
    <n v="0"/>
  </r>
  <r>
    <x v="1"/>
    <x v="1"/>
    <x v="14"/>
    <x v="14"/>
    <s v="21100 Accounts Payable"/>
    <s v="22-21100"/>
    <s v="Accounts Payable"/>
    <n v="0"/>
    <n v="0"/>
    <m/>
    <n v="0"/>
  </r>
  <r>
    <x v="1"/>
    <x v="1"/>
    <x v="15"/>
    <x v="15"/>
    <s v="22200 Accrued Expenses"/>
    <s v="22-22200"/>
    <s v="Salaries &amp; Wages Payable"/>
    <n v="0"/>
    <n v="0"/>
    <m/>
    <n v="0"/>
  </r>
  <r>
    <x v="1"/>
    <x v="1"/>
    <x v="15"/>
    <x v="15"/>
    <s v="22200 Accrued Expenses"/>
    <s v="22-22210"/>
    <s v="Payroll Taxes Payable"/>
    <n v="0"/>
    <n v="0"/>
    <m/>
    <n v="0"/>
  </r>
  <r>
    <x v="1"/>
    <x v="1"/>
    <x v="15"/>
    <x v="15"/>
    <s v="22200 Accrued Expenses"/>
    <s v="22-22500"/>
    <s v="Retirement Payable"/>
    <n v="0"/>
    <n v="0"/>
    <m/>
    <n v="0"/>
  </r>
  <r>
    <x v="1"/>
    <x v="1"/>
    <x v="15"/>
    <x v="15"/>
    <s v="22200 Accrued Expenses"/>
    <s v="22-22700"/>
    <s v="Worker's Comp Payable"/>
    <n v="0"/>
    <n v="0"/>
    <m/>
    <n v="0"/>
  </r>
  <r>
    <x v="1"/>
    <x v="1"/>
    <x v="15"/>
    <x v="15"/>
    <s v="22200 Accrued Expenses"/>
    <s v="22-22800"/>
    <s v="Flex/LTD Payable"/>
    <n v="0"/>
    <n v="0"/>
    <m/>
    <n v="0"/>
  </r>
  <r>
    <x v="2"/>
    <x v="1"/>
    <x v="27"/>
    <x v="27"/>
    <s v="29100 Unrestricted"/>
    <s v="22-29100"/>
    <s v="Fund Balance"/>
    <n v="0"/>
    <n v="0"/>
    <m/>
    <n v="0"/>
  </r>
  <r>
    <x v="3"/>
    <x v="1"/>
    <x v="29"/>
    <x v="29"/>
    <s v="70 Grant revenue"/>
    <s v="22-30-410"/>
    <s v="Wildland Grants"/>
    <n v="-50000"/>
    <n v="-50000"/>
    <n v="-16987.8"/>
    <n v="-50000"/>
  </r>
  <r>
    <x v="3"/>
    <x v="1"/>
    <x v="28"/>
    <x v="28"/>
    <s v="30 Charges for services"/>
    <s v="22-30-415"/>
    <s v="Wildland Income"/>
    <n v="-200000"/>
    <n v="-1300000"/>
    <n v="-4073511.1885714289"/>
    <n v="-600000"/>
  </r>
  <r>
    <x v="3"/>
    <x v="1"/>
    <x v="28"/>
    <x v="28"/>
    <s v="30 Charges for services"/>
    <s v="22-30-420"/>
    <s v="Wildland Mitigation"/>
    <n v="0"/>
    <n v="0"/>
    <m/>
    <n v="0"/>
  </r>
  <r>
    <x v="3"/>
    <x v="1"/>
    <x v="28"/>
    <x v="28"/>
    <s v="30 Charges for services"/>
    <s v="22-30-475"/>
    <s v="Other Income"/>
    <n v="0"/>
    <n v="0"/>
    <m/>
    <n v="0"/>
  </r>
  <r>
    <x v="5"/>
    <x v="1"/>
    <x v="19"/>
    <x v="19"/>
    <m/>
    <s v="22-30-505"/>
    <s v="Interest on Investments"/>
    <m/>
    <n v="0"/>
    <m/>
    <n v="0"/>
  </r>
  <r>
    <x v="3"/>
    <x v="1"/>
    <x v="43"/>
    <x v="34"/>
    <e v="#N/A"/>
    <s v="22-30-525"/>
    <s v="Transfer from Capital Reserves"/>
    <n v="0"/>
    <n v="0"/>
    <m/>
    <n v="0"/>
  </r>
  <r>
    <x v="4"/>
    <x v="1"/>
    <x v="34"/>
    <x v="35"/>
    <s v="100 Salaries and Benefits"/>
    <s v="22-47-600"/>
    <s v="Salaries &amp; Wages"/>
    <n v="112400"/>
    <n v="600000"/>
    <n v="1351505.6571428571"/>
    <n v="356000"/>
  </r>
  <r>
    <x v="4"/>
    <x v="1"/>
    <x v="34"/>
    <x v="35"/>
    <s v="100 Salaries and Benefits"/>
    <s v="22-47-601"/>
    <s v="Payroll Taxes"/>
    <n v="8598.6"/>
    <n v="46000"/>
    <n v="103599.05142857143"/>
    <n v="24939"/>
  </r>
  <r>
    <x v="4"/>
    <x v="1"/>
    <x v="34"/>
    <x v="35"/>
    <s v="100 Salaries and Benefits"/>
    <s v="22-47-602"/>
    <s v="Retirement"/>
    <n v="0"/>
    <n v="0"/>
    <m/>
    <n v="0"/>
  </r>
  <r>
    <x v="4"/>
    <x v="1"/>
    <x v="34"/>
    <x v="35"/>
    <s v="100 Salaries and Benefits"/>
    <s v="22-47-603"/>
    <s v="Medical, LTD, Life, AD&amp;D"/>
    <m/>
    <m/>
    <m/>
    <m/>
  </r>
  <r>
    <x v="4"/>
    <x v="1"/>
    <x v="34"/>
    <x v="35"/>
    <s v="100 Salaries and Benefits"/>
    <s v="22-47-604"/>
    <s v="Worker's Compensation"/>
    <n v="2956.12"/>
    <n v="2956.12"/>
    <n v="2106.6857142857143"/>
    <n v="6520"/>
  </r>
  <r>
    <x v="5"/>
    <x v="2"/>
    <x v="19"/>
    <x v="19"/>
    <m/>
    <s v="22-47-607"/>
    <s v="Vacation/Sick/Holiday"/>
    <m/>
    <m/>
    <m/>
    <m/>
  </r>
  <r>
    <x v="5"/>
    <x v="2"/>
    <x v="19"/>
    <x v="19"/>
    <m/>
    <s v="22-47-608"/>
    <s v="Flex Plan"/>
    <m/>
    <m/>
    <m/>
    <m/>
  </r>
  <r>
    <x v="4"/>
    <x v="1"/>
    <x v="35"/>
    <x v="36"/>
    <s v="200 General and Administrative"/>
    <s v="22-47-612"/>
    <s v="Supplies"/>
    <n v="-5821.0560000000005"/>
    <n v="18000"/>
    <n v="58252.542857142857"/>
    <n v="9500"/>
  </r>
  <r>
    <x v="5"/>
    <x v="1"/>
    <x v="19"/>
    <x v="19"/>
    <m/>
    <s v="22-47-625"/>
    <s v="Special Studies"/>
    <m/>
    <n v="0"/>
    <n v="0"/>
    <n v="0"/>
  </r>
  <r>
    <x v="4"/>
    <x v="1"/>
    <x v="35"/>
    <x v="36"/>
    <s v="200 General and Administrative"/>
    <s v="22-47-635"/>
    <s v="Insurance"/>
    <n v="527.88400000000001"/>
    <n v="1200"/>
    <n v="24081.874285714286"/>
    <n v="527.88"/>
  </r>
  <r>
    <x v="4"/>
    <x v="1"/>
    <x v="36"/>
    <x v="37"/>
    <s v="500 Repairs and Maintenance"/>
    <s v="22-47-638"/>
    <s v="Repairs &amp; Maintenance"/>
    <n v="20000"/>
    <n v="20000"/>
    <n v="1669.1828571428573"/>
    <n v="20000"/>
  </r>
  <r>
    <x v="4"/>
    <x v="1"/>
    <x v="36"/>
    <x v="37"/>
    <s v="500 Repairs and Maintenance"/>
    <s v="22-47-654"/>
    <s v="Vehicles Repairs &amp; Maint"/>
    <n v="6000"/>
    <n v="20000"/>
    <n v="54817.354285714289"/>
    <n v="12000"/>
  </r>
  <r>
    <x v="4"/>
    <x v="1"/>
    <x v="36"/>
    <x v="37"/>
    <s v="500 Repairs and Maintenance"/>
    <s v="22-47-658"/>
    <s v="Vehicle Fuel"/>
    <n v="12000"/>
    <n v="15000"/>
    <n v="54470.434285714291"/>
    <n v="12000"/>
  </r>
  <r>
    <x v="4"/>
    <x v="1"/>
    <x v="35"/>
    <x v="36"/>
    <s v="200 General and Administrative"/>
    <s v="22-47-677"/>
    <s v="Travel and Conferences"/>
    <n v="10000"/>
    <n v="75000"/>
    <n v="293061.94285714283"/>
    <n v="35000"/>
  </r>
  <r>
    <x v="4"/>
    <x v="1"/>
    <x v="35"/>
    <x v="36"/>
    <s v="200 General and Administrative"/>
    <s v="22-47-681"/>
    <s v="Training"/>
    <n v="4000"/>
    <n v="4000"/>
    <n v="2695.3542857142857"/>
    <n v="4000"/>
  </r>
  <r>
    <x v="4"/>
    <x v="1"/>
    <x v="35"/>
    <x v="36"/>
    <s v="200 General and Administrative"/>
    <s v="22-47-686"/>
    <s v="Mitigation Expense"/>
    <n v="0"/>
    <n v="0"/>
    <n v="0"/>
    <n v="0"/>
  </r>
  <r>
    <x v="4"/>
    <x v="1"/>
    <x v="40"/>
    <x v="41"/>
    <s v="700 Depreciation and Amortization"/>
    <s v="22-47-688"/>
    <s v="Depreciation"/>
    <n v="10932"/>
    <n v="20000"/>
    <n v="36610.371428571423"/>
    <n v="0"/>
  </r>
  <r>
    <x v="4"/>
    <x v="1"/>
    <x v="41"/>
    <x v="42"/>
    <s v="710 Capital Outlay"/>
    <s v="22-47-691"/>
    <s v="Capital Equipment"/>
    <n v="0"/>
    <n v="0"/>
    <n v="584691.90857142862"/>
    <n v="0"/>
  </r>
  <r>
    <x v="4"/>
    <x v="1"/>
    <x v="35"/>
    <x v="36"/>
    <s v="200 General and Administrative"/>
    <s v="22-47-694"/>
    <s v="WL Gear &amp; Tools"/>
    <n v="15000"/>
    <n v="0"/>
    <n v="25037.468571428573"/>
    <n v="0"/>
  </r>
  <r>
    <x v="4"/>
    <x v="1"/>
    <x v="42"/>
    <x v="43"/>
    <s v="720 Gain/Loss on disposal"/>
    <s v="22-47-697"/>
    <s v="Loss on Disposal of Fix Asset"/>
    <n v="0"/>
    <n v="0"/>
    <m/>
    <n v="0"/>
  </r>
  <r>
    <x v="0"/>
    <x v="3"/>
    <x v="0"/>
    <x v="0"/>
    <s v="10000 Cash and Cash Equivalents"/>
    <s v="51-10000"/>
    <s v="Cash Combined Fund"/>
    <n v="0"/>
    <n v="0"/>
    <m/>
    <n v="0"/>
  </r>
  <r>
    <x v="0"/>
    <x v="3"/>
    <x v="1"/>
    <x v="1"/>
    <s v="10600 Restricted cash and investments"/>
    <s v="51-10500"/>
    <s v="Restricted Cash"/>
    <n v="0"/>
    <n v="0"/>
    <m/>
    <n v="0"/>
  </r>
  <r>
    <x v="0"/>
    <x v="3"/>
    <x v="0"/>
    <x v="0"/>
    <s v="10000 Cash and Cash Equivalents"/>
    <s v="51-10620"/>
    <s v="1470 PTIF Water Reserve"/>
    <n v="0"/>
    <n v="0"/>
    <m/>
    <n v="0"/>
  </r>
  <r>
    <x v="0"/>
    <x v="3"/>
    <x v="1"/>
    <x v="1"/>
    <s v="10600 Restricted cash and investments"/>
    <s v="51-10625"/>
    <s v="Zion's Bond Acct 6119963"/>
    <n v="0"/>
    <n v="0"/>
    <m/>
    <n v="0"/>
  </r>
  <r>
    <x v="0"/>
    <x v="3"/>
    <x v="1"/>
    <x v="1"/>
    <s v="10600 Restricted cash and investments"/>
    <s v="51-10630"/>
    <s v="Bond Reserve Account 611963A"/>
    <n v="0"/>
    <n v="0"/>
    <m/>
    <n v="0"/>
  </r>
  <r>
    <x v="0"/>
    <x v="3"/>
    <x v="44"/>
    <x v="44"/>
    <s v="16200 Noncurrent restricted cash and investments"/>
    <s v="51-10640"/>
    <s v="Bond Construction Acct 61199"/>
    <n v="0"/>
    <n v="0"/>
    <m/>
    <n v="0"/>
  </r>
  <r>
    <x v="0"/>
    <x v="3"/>
    <x v="1"/>
    <x v="1"/>
    <s v="10600 Restricted cash and investments"/>
    <s v="51-10645"/>
    <s v="9007 PTIF 2022 Well"/>
    <n v="0"/>
    <n v="0"/>
    <m/>
    <n v="0"/>
  </r>
  <r>
    <x v="0"/>
    <x v="3"/>
    <x v="1"/>
    <x v="1"/>
    <s v="10600 Restricted cash and investments"/>
    <s v="51-10646"/>
    <s v="8554 PTIF Water Infilt Syst 24"/>
    <m/>
    <n v="0"/>
    <m/>
    <n v="0"/>
  </r>
  <r>
    <x v="0"/>
    <x v="3"/>
    <x v="2"/>
    <x v="2"/>
    <s v="11500 Accounts Receivable"/>
    <s v="51-11500"/>
    <s v="Accounts Receivable"/>
    <n v="0"/>
    <n v="0"/>
    <m/>
    <n v="0"/>
  </r>
  <r>
    <x v="0"/>
    <x v="3"/>
    <x v="3"/>
    <x v="3"/>
    <s v="11510 Property Tax Receivable"/>
    <s v="51-11520"/>
    <s v="Property Tax Receivable"/>
    <n v="0"/>
    <n v="0"/>
    <m/>
    <n v="0"/>
  </r>
  <r>
    <x v="0"/>
    <x v="3"/>
    <x v="43"/>
    <x v="34"/>
    <e v="#N/A"/>
    <s v="51-11550"/>
    <s v="Water Assessment Receivable"/>
    <n v="0"/>
    <n v="0"/>
    <m/>
    <n v="0"/>
  </r>
  <r>
    <x v="0"/>
    <x v="3"/>
    <x v="2"/>
    <x v="2"/>
    <s v="11500 Accounts Receivable"/>
    <s v="51-11570"/>
    <s v="Allow for Doubtful Accts"/>
    <n v="0"/>
    <n v="0"/>
    <m/>
    <n v="0"/>
  </r>
  <r>
    <x v="0"/>
    <x v="3"/>
    <x v="45"/>
    <x v="45"/>
    <s v="11570 Allowance for Uncollectible Accounts Receivable"/>
    <s v="51-11575"/>
    <s v="Prior Year Write Offs"/>
    <n v="0"/>
    <n v="0"/>
    <m/>
    <n v="0"/>
  </r>
  <r>
    <x v="0"/>
    <x v="3"/>
    <x v="4"/>
    <x v="4"/>
    <s v="14300 Prepaid Expenses"/>
    <s v="51-14300"/>
    <s v="Prepaid Expenses"/>
    <n v="0"/>
    <n v="0"/>
    <m/>
    <n v="0"/>
  </r>
  <r>
    <x v="0"/>
    <x v="3"/>
    <x v="5"/>
    <x v="5"/>
    <s v="16320 Equipment"/>
    <s v="51-16100"/>
    <s v="PW Fixed Assets"/>
    <n v="0"/>
    <n v="0"/>
    <m/>
    <n v="0"/>
  </r>
  <r>
    <x v="0"/>
    <x v="3"/>
    <x v="46"/>
    <x v="46"/>
    <s v="16300 Water Shares"/>
    <s v="51-16300"/>
    <s v="Water Rights"/>
    <n v="0"/>
    <n v="0"/>
    <m/>
    <n v="0"/>
  </r>
  <r>
    <x v="0"/>
    <x v="3"/>
    <x v="47"/>
    <x v="47"/>
    <s v="16310 Water System"/>
    <s v="51-16310"/>
    <s v="Water System"/>
    <n v="0"/>
    <n v="0"/>
    <m/>
    <n v="0"/>
  </r>
  <r>
    <x v="0"/>
    <x v="3"/>
    <x v="7"/>
    <x v="7"/>
    <s v="16330 Building and Improvements"/>
    <s v="51-16320"/>
    <s v="Water Tanks &amp; Well"/>
    <n v="0"/>
    <n v="0"/>
    <m/>
    <n v="0"/>
  </r>
  <r>
    <x v="0"/>
    <x v="3"/>
    <x v="5"/>
    <x v="5"/>
    <s v="16320 Equipment"/>
    <s v="51-16330"/>
    <s v="Water Telemetry System"/>
    <n v="0"/>
    <n v="0"/>
    <m/>
    <n v="0"/>
  </r>
  <r>
    <x v="0"/>
    <x v="3"/>
    <x v="8"/>
    <x v="8"/>
    <s v="16500 Right to use assets"/>
    <s v="51-16500"/>
    <s v="RUA - Equipment"/>
    <n v="0"/>
    <n v="0"/>
    <m/>
    <n v="0"/>
  </r>
  <r>
    <x v="0"/>
    <x v="3"/>
    <x v="9"/>
    <x v="9"/>
    <s v="16600 Construction In Progress"/>
    <s v="51-16600"/>
    <s v="Construction In Progress"/>
    <n v="0"/>
    <n v="0"/>
    <m/>
    <n v="0"/>
  </r>
  <r>
    <x v="0"/>
    <x v="3"/>
    <x v="11"/>
    <x v="11"/>
    <s v="16900 Accumulated Depreciation"/>
    <s v="51-16900"/>
    <s v="Accumulated Depreciation"/>
    <n v="0"/>
    <n v="0"/>
    <m/>
    <n v="0"/>
  </r>
  <r>
    <x v="1"/>
    <x v="3"/>
    <x v="14"/>
    <x v="14"/>
    <s v="21100 Accounts Payable"/>
    <s v="51-21100"/>
    <s v="Accounts Payable"/>
    <n v="0"/>
    <n v="0"/>
    <m/>
    <n v="0"/>
  </r>
  <r>
    <x v="1"/>
    <x v="3"/>
    <x v="15"/>
    <x v="15"/>
    <s v="22200 Accrued Expenses"/>
    <s v="51-22200"/>
    <s v="Salaries &amp; Wages Payable"/>
    <n v="0"/>
    <n v="0"/>
    <m/>
    <n v="0"/>
  </r>
  <r>
    <x v="1"/>
    <x v="3"/>
    <x v="15"/>
    <x v="15"/>
    <s v="22200 Accrued Expenses"/>
    <s v="51-22210"/>
    <s v="Payroll Taxes Payable"/>
    <n v="0"/>
    <n v="0"/>
    <m/>
    <n v="0"/>
  </r>
  <r>
    <x v="1"/>
    <x v="3"/>
    <x v="15"/>
    <x v="15"/>
    <s v="22200 Accrued Expenses"/>
    <s v="51-22500"/>
    <s v="Retirement Payable"/>
    <n v="0"/>
    <n v="0"/>
    <m/>
    <n v="0"/>
  </r>
  <r>
    <x v="1"/>
    <x v="3"/>
    <x v="15"/>
    <x v="15"/>
    <s v="22200 Accrued Expenses"/>
    <s v="51-22600"/>
    <s v="Payroll Benefits Payable"/>
    <n v="0"/>
    <n v="0"/>
    <m/>
    <n v="0"/>
  </r>
  <r>
    <x v="1"/>
    <x v="3"/>
    <x v="15"/>
    <x v="15"/>
    <s v="22200 Accrued Expenses"/>
    <s v="51-22700"/>
    <s v="Worker's Comp Payable"/>
    <n v="0"/>
    <n v="0"/>
    <m/>
    <n v="0"/>
  </r>
  <r>
    <x v="1"/>
    <x v="3"/>
    <x v="15"/>
    <x v="15"/>
    <s v="22200 Accrued Expenses"/>
    <s v="51-22800"/>
    <s v="Flex/LTD Payable"/>
    <n v="0"/>
    <n v="0"/>
    <m/>
    <n v="0"/>
  </r>
  <r>
    <x v="1"/>
    <x v="3"/>
    <x v="18"/>
    <x v="18"/>
    <s v="23000 Unearned Revenue"/>
    <s v="51-23000"/>
    <s v="Unearned Revenue"/>
    <n v="0"/>
    <n v="0"/>
    <m/>
    <n v="0"/>
  </r>
  <r>
    <x v="1"/>
    <x v="3"/>
    <x v="15"/>
    <x v="15"/>
    <s v="22200 Accrued Expenses"/>
    <s v="51-25100"/>
    <s v="Accrued Vacation"/>
    <n v="0"/>
    <n v="0"/>
    <m/>
    <n v="0"/>
  </r>
  <r>
    <x v="1"/>
    <x v="3"/>
    <x v="20"/>
    <x v="20"/>
    <s v="28000 Accrued Interest Payable"/>
    <s v="51-28000"/>
    <s v="Accrued Interest Payable"/>
    <n v="0"/>
    <n v="0"/>
    <m/>
    <n v="0"/>
  </r>
  <r>
    <x v="1"/>
    <x v="3"/>
    <x v="21"/>
    <x v="21"/>
    <s v="28510 Notes Payable - Non Current"/>
    <s v="51-28500"/>
    <s v="GMAC Credit - Water System"/>
    <n v="0"/>
    <n v="0"/>
    <m/>
    <n v="0"/>
  </r>
  <r>
    <x v="1"/>
    <x v="3"/>
    <x v="43"/>
    <x v="34"/>
    <e v="#N/A"/>
    <s v="51-28511"/>
    <s v="Note Current Portion"/>
    <n v="0"/>
    <n v="0"/>
    <m/>
    <n v="0"/>
  </r>
  <r>
    <x v="1"/>
    <x v="3"/>
    <x v="24"/>
    <x v="24"/>
    <s v="28521 Capital Leases Payable - Current"/>
    <s v="51-28521"/>
    <s v="Lease Current Portion"/>
    <n v="0"/>
    <n v="0"/>
    <m/>
    <n v="0"/>
  </r>
  <r>
    <x v="1"/>
    <x v="3"/>
    <x v="25"/>
    <x v="25"/>
    <s v="28540 Bonds Payable - Non Current"/>
    <s v="51-28540"/>
    <s v="Bond for Stewart Tank and Well"/>
    <n v="0"/>
    <n v="0"/>
    <m/>
    <n v="0"/>
  </r>
  <r>
    <x v="1"/>
    <x v="3"/>
    <x v="26"/>
    <x v="26"/>
    <s v="28541 Bonds Payable - Current"/>
    <s v="51-28541"/>
    <s v="Bond Current Portion"/>
    <n v="0"/>
    <n v="0"/>
    <m/>
    <n v="0"/>
  </r>
  <r>
    <x v="1"/>
    <x v="3"/>
    <x v="24"/>
    <x v="24"/>
    <s v="28521 Capital Leases Payable - Current"/>
    <s v="51-28550"/>
    <s v="Hinklease Truck Lease"/>
    <n v="0"/>
    <n v="0"/>
    <m/>
    <n v="0"/>
  </r>
  <r>
    <x v="1"/>
    <x v="3"/>
    <x v="23"/>
    <x v="23"/>
    <s v="28520 Capital Leases Payable  - Non Current"/>
    <s v="51-28570"/>
    <s v="Caterpillar Lease"/>
    <n v="0"/>
    <n v="0"/>
    <m/>
    <n v="0"/>
  </r>
  <r>
    <x v="2"/>
    <x v="3"/>
    <x v="27"/>
    <x v="27"/>
    <s v="29100 Unrestricted"/>
    <s v="51-29100"/>
    <s v="Fund Balance"/>
    <n v="0"/>
    <n v="0"/>
    <m/>
    <n v="0"/>
  </r>
  <r>
    <x v="3"/>
    <x v="3"/>
    <x v="29"/>
    <x v="29"/>
    <s v="70 Grant revenue"/>
    <s v="51-30-410"/>
    <s v="Well Grant"/>
    <n v="-3700000"/>
    <n v="-3700000"/>
    <n v="-43712.142857142855"/>
    <n v="-3700000"/>
  </r>
  <r>
    <x v="3"/>
    <x v="3"/>
    <x v="28"/>
    <x v="28"/>
    <s v="30 Charges for services"/>
    <s v="51-30-430"/>
    <s v="Water Income"/>
    <n v="-390000"/>
    <n v="-390000"/>
    <n v="-505152.77142857143"/>
    <n v="-390000"/>
  </r>
  <r>
    <x v="3"/>
    <x v="3"/>
    <x v="28"/>
    <x v="28"/>
    <s v="30 Charges for services"/>
    <s v="51-30-435"/>
    <s v="Water Line Repairs"/>
    <n v="0"/>
    <n v="-30"/>
    <n v="0"/>
    <n v="-30"/>
  </r>
  <r>
    <x v="3"/>
    <x v="3"/>
    <x v="28"/>
    <x v="28"/>
    <s v="30 Charges for services"/>
    <s v="51-30-440"/>
    <s v="Water Stand-by Fee"/>
    <n v="-8580"/>
    <n v="-8580"/>
    <n v="-11228.588571428572"/>
    <n v="-8580"/>
  </r>
  <r>
    <x v="3"/>
    <x v="3"/>
    <x v="28"/>
    <x v="28"/>
    <s v="30 Charges for services"/>
    <s v="51-30-445"/>
    <s v="Excess Water Usage"/>
    <n v="-350000"/>
    <n v="-350000"/>
    <n v="-519269.43428571423"/>
    <n v="-350000"/>
  </r>
  <r>
    <x v="3"/>
    <x v="3"/>
    <x v="28"/>
    <x v="28"/>
    <s v="30 Charges for services"/>
    <s v="51-30-446"/>
    <s v="Access Fee"/>
    <n v="0"/>
    <n v="0"/>
    <m/>
    <n v="0"/>
  </r>
  <r>
    <x v="3"/>
    <x v="3"/>
    <x v="28"/>
    <x v="28"/>
    <s v="30 Charges for services"/>
    <s v="51-30-450"/>
    <s v="Meter Fees"/>
    <n v="0"/>
    <n v="0"/>
    <m/>
    <n v="0"/>
  </r>
  <r>
    <x v="3"/>
    <x v="3"/>
    <x v="28"/>
    <x v="28"/>
    <s v="30 Charges for services"/>
    <s v="51-30-455"/>
    <s v="Connection Fee"/>
    <n v="0"/>
    <n v="0"/>
    <m/>
    <n v="0"/>
  </r>
  <r>
    <x v="3"/>
    <x v="3"/>
    <x v="30"/>
    <x v="30"/>
    <s v="960 Interest income"/>
    <s v="51-30-470"/>
    <s v="Interest &amp; Finance Charges"/>
    <n v="0"/>
    <n v="0"/>
    <m/>
    <n v="0"/>
  </r>
  <r>
    <x v="3"/>
    <x v="3"/>
    <x v="28"/>
    <x v="28"/>
    <s v="30 Charges for services"/>
    <s v="51-30-475"/>
    <s v="Other Income"/>
    <n v="0"/>
    <n v="-4110"/>
    <n v="-90938.537142857153"/>
    <n v="-4110"/>
  </r>
  <r>
    <x v="3"/>
    <x v="3"/>
    <x v="32"/>
    <x v="32"/>
    <s v="950 Property Taxes"/>
    <s v="51-30-500"/>
    <s v="Property Tax Income"/>
    <n v="-80000"/>
    <n v="-80000"/>
    <n v="-11832.137142857144"/>
    <n v="-80000"/>
  </r>
  <r>
    <x v="3"/>
    <x v="3"/>
    <x v="30"/>
    <x v="30"/>
    <s v="960 Interest income"/>
    <s v="51-30-505"/>
    <s v="Interest on Investments"/>
    <n v="-100000"/>
    <n v="-100000"/>
    <n v="-44950.508571428574"/>
    <n v="-100000"/>
  </r>
  <r>
    <x v="3"/>
    <x v="3"/>
    <x v="43"/>
    <x v="34"/>
    <e v="#N/A"/>
    <s v="51-30-525"/>
    <s v="Transfer from Capital Reserves"/>
    <n v="0"/>
    <n v="0"/>
    <m/>
    <n v="0"/>
  </r>
  <r>
    <x v="3"/>
    <x v="3"/>
    <x v="30"/>
    <x v="30"/>
    <s v="960 Interest income"/>
    <s v="51-30-970"/>
    <s v="Bond Interest Income"/>
    <n v="0"/>
    <n v="0"/>
    <m/>
    <n v="0"/>
  </r>
  <r>
    <x v="4"/>
    <x v="3"/>
    <x v="34"/>
    <x v="35"/>
    <s v="100 Salaries and Benefits"/>
    <s v="51-50-600"/>
    <s v="Salaries and Wages"/>
    <n v="240279.90104166666"/>
    <n v="240280"/>
    <n v="260161.37142857141"/>
    <n v="221918.51250000001"/>
  </r>
  <r>
    <x v="4"/>
    <x v="3"/>
    <x v="34"/>
    <x v="35"/>
    <s v="100 Salaries and Benefits"/>
    <s v="51-50-601"/>
    <s v="Payroll Taxes"/>
    <n v="18381.412429687494"/>
    <n v="18381"/>
    <n v="21491.82857142857"/>
    <n v="16976.766206250002"/>
  </r>
  <r>
    <x v="4"/>
    <x v="3"/>
    <x v="34"/>
    <x v="35"/>
    <s v="100 Salaries and Benefits"/>
    <s v="51-50-602"/>
    <s v="Retirement"/>
    <n v="44740.661108333334"/>
    <n v="44741"/>
    <n v="48144.377142857149"/>
    <n v="31944.720000000001"/>
  </r>
  <r>
    <x v="4"/>
    <x v="3"/>
    <x v="34"/>
    <x v="35"/>
    <s v="100 Salaries and Benefits"/>
    <s v="51-50-603"/>
    <s v="Medical, LTD, Life, AD&amp;D"/>
    <n v="43334.661416597228"/>
    <n v="43335"/>
    <n v="52674.942857142858"/>
    <n v="50232.110999999997"/>
  </r>
  <r>
    <x v="4"/>
    <x v="3"/>
    <x v="34"/>
    <x v="35"/>
    <s v="100 Salaries and Benefits"/>
    <s v="51-50-604"/>
    <s v="Worker's Compensation"/>
    <n v="6099.0569357458326"/>
    <n v="6099"/>
    <n v="1630.0285714285715"/>
    <n v="4262.7552000000005"/>
  </r>
  <r>
    <x v="4"/>
    <x v="3"/>
    <x v="34"/>
    <x v="35"/>
    <s v="100 Salaries and Benefits"/>
    <s v="51-50-607"/>
    <s v="Vacation/Sick/Holiday"/>
    <n v="0"/>
    <n v="10000"/>
    <n v="21360.102857142854"/>
    <n v="0"/>
  </r>
  <r>
    <x v="4"/>
    <x v="3"/>
    <x v="34"/>
    <x v="35"/>
    <s v="100 Salaries and Benefits"/>
    <s v="51-50-608"/>
    <s v="Flex Plan"/>
    <n v="297"/>
    <n v="297"/>
    <n v="2.2800000000000002"/>
    <n v="108"/>
  </r>
  <r>
    <x v="4"/>
    <x v="3"/>
    <x v="34"/>
    <x v="35"/>
    <s v="100 Salaries and Benefits"/>
    <s v="51-50-609"/>
    <s v="Employee/Vol Incentives"/>
    <n v="0"/>
    <n v="550"/>
    <n v="92.88"/>
    <n v="0"/>
  </r>
  <r>
    <x v="5"/>
    <x v="3"/>
    <x v="19"/>
    <x v="19"/>
    <m/>
    <s v="51-50-610"/>
    <s v="Other Benefits"/>
    <m/>
    <n v="0"/>
    <m/>
    <n v="0"/>
  </r>
  <r>
    <x v="4"/>
    <x v="3"/>
    <x v="35"/>
    <x v="36"/>
    <s v="200 General and Administrative"/>
    <s v="51-50-612"/>
    <s v="Supplies"/>
    <n v="7000"/>
    <n v="7000"/>
    <n v="12785.914285714283"/>
    <n v="7000"/>
  </r>
  <r>
    <x v="4"/>
    <x v="3"/>
    <x v="35"/>
    <x v="36"/>
    <s v="200 General and Administrative"/>
    <s v="51-50-615"/>
    <s v="Dues and Subscriptions"/>
    <n v="4000"/>
    <n v="7500"/>
    <n v="15080.400000000001"/>
    <n v="6500"/>
  </r>
  <r>
    <x v="4"/>
    <x v="3"/>
    <x v="35"/>
    <x v="36"/>
    <s v="200 General and Administrative"/>
    <s v="51-50-618"/>
    <s v="Accounting Services"/>
    <n v="10000"/>
    <n v="10000"/>
    <n v="12717.548571428571"/>
    <n v="10000"/>
  </r>
  <r>
    <x v="4"/>
    <x v="3"/>
    <x v="35"/>
    <x v="36"/>
    <s v="200 General and Administrative"/>
    <s v="51-50-619"/>
    <s v="IT Services"/>
    <n v="8000"/>
    <n v="8000"/>
    <n v="4243.5085714285715"/>
    <n v="8000"/>
  </r>
  <r>
    <x v="4"/>
    <x v="3"/>
    <x v="35"/>
    <x v="36"/>
    <s v="200 General and Administrative"/>
    <s v="51-50-620"/>
    <s v="Software"/>
    <n v="6000"/>
    <n v="6000"/>
    <n v="4342.8857142857141"/>
    <n v="6000"/>
  </r>
  <r>
    <x v="4"/>
    <x v="3"/>
    <x v="35"/>
    <x v="36"/>
    <s v="200 General and Administrative"/>
    <s v="51-50-622"/>
    <s v="Legal Services"/>
    <n v="20000"/>
    <n v="30000"/>
    <n v="19979.537142857142"/>
    <n v="25000"/>
  </r>
  <r>
    <x v="4"/>
    <x v="3"/>
    <x v="35"/>
    <x v="36"/>
    <s v="200 General and Administrative"/>
    <s v="51-50-623"/>
    <s v="Advertising"/>
    <n v="250"/>
    <n v="250"/>
    <n v="51.771428571428572"/>
    <n v="300"/>
  </r>
  <r>
    <x v="4"/>
    <x v="3"/>
    <x v="35"/>
    <x v="36"/>
    <s v="200 General and Administrative"/>
    <s v="51-50-625"/>
    <s v="Special Studies"/>
    <m/>
    <n v="0"/>
    <m/>
    <n v="0"/>
  </r>
  <r>
    <x v="4"/>
    <x v="3"/>
    <x v="35"/>
    <x v="36"/>
    <s v="200 General and Administrative"/>
    <s v="51-50-629"/>
    <s v="Utilities-Communications"/>
    <n v="6500"/>
    <n v="6500"/>
    <n v="7746.6342857142845"/>
    <n v="6500"/>
  </r>
  <r>
    <x v="4"/>
    <x v="3"/>
    <x v="35"/>
    <x v="36"/>
    <s v="200 General and Administrative"/>
    <s v="51-50-635"/>
    <s v="Insurance"/>
    <n v="18000"/>
    <n v="18000"/>
    <n v="29578.902857142857"/>
    <n v="18000"/>
  </r>
  <r>
    <x v="4"/>
    <x v="3"/>
    <x v="36"/>
    <x v="37"/>
    <s v="500 Repairs and Maintenance"/>
    <s v="51-50-654"/>
    <s v="Vehicle Repairs and Maint"/>
    <n v="800"/>
    <n v="1850"/>
    <n v="1993.92"/>
    <n v="1000"/>
  </r>
  <r>
    <x v="4"/>
    <x v="3"/>
    <x v="36"/>
    <x v="37"/>
    <s v="500 Repairs and Maintenance"/>
    <s v="51-50-658"/>
    <s v="Vehicle Fuel"/>
    <n v="3000"/>
    <n v="3000"/>
    <n v="3900.7714285714283"/>
    <n v="3000"/>
  </r>
  <r>
    <x v="4"/>
    <x v="3"/>
    <x v="36"/>
    <x v="37"/>
    <s v="500 Repairs and Maintenance"/>
    <s v="51-50-659"/>
    <s v="Building Maintenance"/>
    <n v="3000"/>
    <n v="3000"/>
    <n v="14547.84"/>
    <n v="3000"/>
  </r>
  <r>
    <x v="4"/>
    <x v="3"/>
    <x v="36"/>
    <x v="37"/>
    <s v="500 Repairs and Maintenance"/>
    <s v="51-50-661"/>
    <s v="Cleaning"/>
    <n v="0"/>
    <n v="0"/>
    <m/>
    <n v="0"/>
  </r>
  <r>
    <x v="4"/>
    <x v="3"/>
    <x v="35"/>
    <x v="36"/>
    <s v="200 General and Administrative"/>
    <s v="51-50-667"/>
    <s v="Backhoe Lease"/>
    <n v="0"/>
    <n v="0"/>
    <m/>
    <n v="0"/>
  </r>
  <r>
    <x v="4"/>
    <x v="3"/>
    <x v="35"/>
    <x v="36"/>
    <s v="200 General and Administrative"/>
    <s v="51-50-671"/>
    <s v="Truck Lease"/>
    <n v="8100"/>
    <n v="8100"/>
    <n v="0"/>
    <n v="8100"/>
  </r>
  <r>
    <x v="4"/>
    <x v="3"/>
    <x v="35"/>
    <x v="36"/>
    <s v="200 General and Administrative"/>
    <s v="51-50-675"/>
    <s v="Bank and Finance Charges"/>
    <n v="3900"/>
    <n v="3900"/>
    <n v="7538.2628571428577"/>
    <n v="3900"/>
  </r>
  <r>
    <x v="4"/>
    <x v="3"/>
    <x v="35"/>
    <x v="36"/>
    <s v="200 General and Administrative"/>
    <s v="51-50-677"/>
    <s v="Travel and Conferences"/>
    <n v="1200"/>
    <n v="1200"/>
    <n v="2911.2342857142858"/>
    <n v="1200"/>
  </r>
  <r>
    <x v="4"/>
    <x v="3"/>
    <x v="35"/>
    <x v="36"/>
    <s v="200 General and Administrative"/>
    <s v="51-50-678"/>
    <s v="Meals"/>
    <n v="0"/>
    <n v="0"/>
    <m/>
    <n v="0"/>
  </r>
  <r>
    <x v="4"/>
    <x v="3"/>
    <x v="35"/>
    <x v="36"/>
    <s v="200 General and Administrative"/>
    <s v="51-50-684"/>
    <s v="Certs and Training"/>
    <n v="1000"/>
    <n v="1200"/>
    <n v="918.4457142857143"/>
    <n v="1200"/>
  </r>
  <r>
    <x v="4"/>
    <x v="3"/>
    <x v="35"/>
    <x v="36"/>
    <s v="200 General and Administrative"/>
    <s v="51-50-690"/>
    <s v="Computer &amp; Office Equipment"/>
    <n v="0"/>
    <n v="0"/>
    <n v="1154.76"/>
    <n v="0"/>
  </r>
  <r>
    <x v="4"/>
    <x v="3"/>
    <x v="35"/>
    <x v="36"/>
    <s v="200 General and Administrative"/>
    <s v="51-50-694"/>
    <s v="Clothing &amp; Protective Gear"/>
    <n v="1300"/>
    <n v="1300"/>
    <n v="736.78285714285721"/>
    <n v="1500"/>
  </r>
  <r>
    <x v="4"/>
    <x v="3"/>
    <x v="35"/>
    <x v="36"/>
    <s v="200 General and Administrative"/>
    <s v="51-51-621"/>
    <s v="Engineering Services"/>
    <n v="40000"/>
    <n v="40000"/>
    <n v="29037.651428571429"/>
    <n v="40000"/>
  </r>
  <r>
    <x v="4"/>
    <x v="3"/>
    <x v="35"/>
    <x v="36"/>
    <s v="200 General and Administrative"/>
    <s v="51-51-625"/>
    <s v="Electricity Pumphouse"/>
    <n v="8500"/>
    <n v="14000"/>
    <n v="7038.017142857143"/>
    <n v="14000"/>
  </r>
  <r>
    <x v="4"/>
    <x v="3"/>
    <x v="35"/>
    <x v="36"/>
    <s v="200 General and Administrative"/>
    <s v="51-51-626"/>
    <s v="Electricity"/>
    <n v="1000"/>
    <n v="1000"/>
    <n v="0"/>
    <n v="1000"/>
  </r>
  <r>
    <x v="4"/>
    <x v="3"/>
    <x v="35"/>
    <x v="36"/>
    <s v="200 General and Administrative"/>
    <s v="51-51-628"/>
    <s v="Electricity Stewart Tank"/>
    <n v="4000"/>
    <n v="4000"/>
    <n v="3161.2628571428572"/>
    <n v="4000"/>
  </r>
  <r>
    <x v="4"/>
    <x v="3"/>
    <x v="36"/>
    <x v="37"/>
    <s v="500 Repairs and Maintenance"/>
    <s v="51-51-638"/>
    <s v="Repairs &amp; Maintenance"/>
    <n v="35000"/>
    <n v="35000"/>
    <n v="28412.931428571428"/>
    <n v="35000"/>
  </r>
  <r>
    <x v="4"/>
    <x v="3"/>
    <x v="36"/>
    <x v="37"/>
    <s v="500 Repairs and Maintenance"/>
    <s v="51-51-640"/>
    <s v="Water Line and Meter Repairs"/>
    <n v="60000"/>
    <n v="60000"/>
    <n v="77869.868571428568"/>
    <n v="60000"/>
  </r>
  <r>
    <x v="4"/>
    <x v="3"/>
    <x v="35"/>
    <x v="36"/>
    <s v="200 General and Administrative"/>
    <s v="51-51-641"/>
    <s v="Automated Metering System"/>
    <n v="0"/>
    <n v="0"/>
    <m/>
    <n v="0"/>
  </r>
  <r>
    <x v="4"/>
    <x v="3"/>
    <x v="35"/>
    <x v="36"/>
    <s v="200 General and Administrative"/>
    <s v="51-51-642"/>
    <s v="Water Tests"/>
    <n v="5712"/>
    <n v="5712"/>
    <n v="24349.01142857143"/>
    <n v="5712"/>
  </r>
  <r>
    <x v="4"/>
    <x v="3"/>
    <x v="35"/>
    <x v="36"/>
    <s v="200 General and Administrative"/>
    <s v="51-51-645"/>
    <s v="Water Chemicals"/>
    <n v="2500"/>
    <n v="2500"/>
    <n v="9454.2857142857138"/>
    <n v="2500"/>
  </r>
  <r>
    <x v="4"/>
    <x v="3"/>
    <x v="35"/>
    <x v="36"/>
    <s v="200 General and Administrative"/>
    <s v="51-51-650"/>
    <s v="Water Rights"/>
    <n v="2800"/>
    <n v="2800"/>
    <n v="29732.297142857147"/>
    <n v="2800"/>
  </r>
  <r>
    <x v="4"/>
    <x v="3"/>
    <x v="35"/>
    <x v="36"/>
    <s v="200 General and Administrative"/>
    <s v="51-51-622"/>
    <s v="Legal Services"/>
    <n v="0"/>
    <n v="0"/>
    <m/>
    <n v="0"/>
  </r>
  <r>
    <x v="4"/>
    <x v="3"/>
    <x v="37"/>
    <x v="38"/>
    <s v="600 Bad Debt"/>
    <s v="51-51-664"/>
    <s v="Bad Debt Expense - Water"/>
    <n v="0"/>
    <n v="0"/>
    <m/>
    <n v="0"/>
  </r>
  <r>
    <x v="4"/>
    <x v="3"/>
    <x v="38"/>
    <x v="39"/>
    <s v="970 Debt Principle Payments"/>
    <s v="51-51-668"/>
    <s v="Bond &amp; Debt Payments"/>
    <n v="256000"/>
    <n v="256000"/>
    <n v="0"/>
    <n v="256000"/>
  </r>
  <r>
    <x v="4"/>
    <x v="3"/>
    <x v="39"/>
    <x v="40"/>
    <s v="620 Interest Expense"/>
    <s v="51-51-674"/>
    <s v="Interest Expense"/>
    <n v="91558"/>
    <n v="91558"/>
    <n v="0"/>
    <n v="91558"/>
  </r>
  <r>
    <x v="4"/>
    <x v="3"/>
    <x v="35"/>
    <x v="36"/>
    <s v="200 General and Administrative"/>
    <s v="51-51-675"/>
    <s v="Bankcard Fees"/>
    <n v="-1590.1240000000003"/>
    <n v="0"/>
    <n v="0"/>
    <n v="0"/>
  </r>
  <r>
    <x v="4"/>
    <x v="3"/>
    <x v="40"/>
    <x v="41"/>
    <s v="700 Depreciation and Amortization"/>
    <s v="51-51-688"/>
    <s v="Depreciation"/>
    <n v="87202.200000000012"/>
    <n v="87202"/>
    <n v="96270.342857142852"/>
    <n v="87202"/>
  </r>
  <r>
    <x v="4"/>
    <x v="3"/>
    <x v="41"/>
    <x v="42"/>
    <s v="710 Capital Outlay"/>
    <s v="51-51-690"/>
    <s v="CAPITAL OUTLAY-NEW WELL PROJ"/>
    <n v="3700000"/>
    <n v="0"/>
    <n v="0"/>
    <n v="0"/>
  </r>
  <r>
    <x v="4"/>
    <x v="3"/>
    <x v="41"/>
    <x v="42"/>
    <s v="710 Capital Outlay"/>
    <s v="51-51-691"/>
    <s v="Capital Equipment"/>
    <n v="100000"/>
    <n v="3800000"/>
    <n v="41268"/>
    <n v="3905500"/>
  </r>
  <r>
    <x v="4"/>
    <x v="3"/>
    <x v="41"/>
    <x v="42"/>
    <s v="710 Capital Outlay"/>
    <s v="51-51-692"/>
    <s v="Capital Outlay-Infiltration"/>
    <m/>
    <n v="0"/>
    <m/>
    <n v="0"/>
  </r>
  <r>
    <x v="4"/>
    <x v="3"/>
    <x v="42"/>
    <x v="43"/>
    <s v="720 Gain/Loss on disposal"/>
    <s v="51-51-697"/>
    <s v="Loss on Disposal of Fix Asset"/>
    <n v="0"/>
    <n v="0"/>
    <m/>
    <n v="0"/>
  </r>
  <r>
    <x v="0"/>
    <x v="4"/>
    <x v="0"/>
    <x v="0"/>
    <s v="10000 Cash and Cash Equivalents"/>
    <s v="52-10000"/>
    <s v="Cash Combined Fund"/>
    <n v="0"/>
    <n v="0"/>
    <m/>
    <n v="0"/>
  </r>
  <r>
    <x v="0"/>
    <x v="4"/>
    <x v="1"/>
    <x v="1"/>
    <s v="10600 Restricted cash and investments"/>
    <s v="52-10500"/>
    <s v="Restricted Cash"/>
    <n v="0"/>
    <n v="0"/>
    <m/>
    <n v="0"/>
  </r>
  <r>
    <x v="0"/>
    <x v="4"/>
    <x v="0"/>
    <x v="0"/>
    <s v="10000 Cash and Cash Equivalents"/>
    <s v="52-10620"/>
    <s v="8818 PTIF WasteWater Reserve"/>
    <n v="0"/>
    <n v="0"/>
    <m/>
    <n v="0"/>
  </r>
  <r>
    <x v="0"/>
    <x v="4"/>
    <x v="1"/>
    <x v="1"/>
    <s v="10600 Restricted cash and investments"/>
    <s v="52-10621"/>
    <s v="9024 WW Redevel Match Grant"/>
    <n v="0"/>
    <n v="0"/>
    <m/>
    <n v="0"/>
  </r>
  <r>
    <x v="0"/>
    <x v="4"/>
    <x v="2"/>
    <x v="2"/>
    <s v="11500 Accounts Receivable"/>
    <s v="52-11500"/>
    <s v="Accounts Receivable"/>
    <n v="0"/>
    <n v="0"/>
    <m/>
    <n v="0"/>
  </r>
  <r>
    <x v="0"/>
    <x v="4"/>
    <x v="48"/>
    <x v="48"/>
    <s v="16400 Wastewater system"/>
    <s v="52-16400"/>
    <s v="Wastewater System"/>
    <n v="0"/>
    <n v="0"/>
    <m/>
    <n v="0"/>
  </r>
  <r>
    <x v="0"/>
    <x v="4"/>
    <x v="8"/>
    <x v="8"/>
    <s v="16500 Right to use assets"/>
    <s v="52-16500"/>
    <s v="RUA - Equipment"/>
    <n v="0"/>
    <n v="0"/>
    <m/>
    <n v="0"/>
  </r>
  <r>
    <x v="0"/>
    <x v="4"/>
    <x v="9"/>
    <x v="9"/>
    <s v="16600 Construction In Progress"/>
    <s v="52-16600"/>
    <s v="Construction In Progress"/>
    <n v="0"/>
    <n v="0"/>
    <m/>
    <n v="0"/>
  </r>
  <r>
    <x v="0"/>
    <x v="4"/>
    <x v="11"/>
    <x v="11"/>
    <s v="16900 Accumulated Depreciation"/>
    <s v="52-16900"/>
    <s v="Accumulated Depreciation"/>
    <n v="0"/>
    <n v="0"/>
    <m/>
    <n v="0"/>
  </r>
  <r>
    <x v="1"/>
    <x v="4"/>
    <x v="14"/>
    <x v="14"/>
    <s v="21100 Accounts Payable"/>
    <s v="52-21100"/>
    <s v="Accounts Payable"/>
    <n v="0"/>
    <n v="0"/>
    <m/>
    <n v="0"/>
  </r>
  <r>
    <x v="1"/>
    <x v="4"/>
    <x v="15"/>
    <x v="15"/>
    <s v="22200 Accrued Expenses"/>
    <s v="52-22200"/>
    <s v="Salaries &amp; Wages Payable"/>
    <n v="0"/>
    <n v="0"/>
    <m/>
    <n v="0"/>
  </r>
  <r>
    <x v="1"/>
    <x v="4"/>
    <x v="15"/>
    <x v="15"/>
    <s v="22200 Accrued Expenses"/>
    <s v="52-22210"/>
    <s v="Payroll Taxes Payable"/>
    <n v="0"/>
    <n v="0"/>
    <m/>
    <n v="0"/>
  </r>
  <r>
    <x v="1"/>
    <x v="4"/>
    <x v="15"/>
    <x v="15"/>
    <s v="22200 Accrued Expenses"/>
    <s v="52-22500"/>
    <s v="Retirement Payable"/>
    <n v="0"/>
    <n v="0"/>
    <m/>
    <n v="0"/>
  </r>
  <r>
    <x v="1"/>
    <x v="4"/>
    <x v="15"/>
    <x v="15"/>
    <s v="22200 Accrued Expenses"/>
    <s v="52-22600"/>
    <s v="Payroll Benefits Payable"/>
    <n v="0"/>
    <n v="0"/>
    <m/>
    <n v="0"/>
  </r>
  <r>
    <x v="1"/>
    <x v="4"/>
    <x v="15"/>
    <x v="15"/>
    <s v="22200 Accrued Expenses"/>
    <s v="52-22700"/>
    <s v="Worker's Comp Payable"/>
    <n v="0"/>
    <n v="0"/>
    <m/>
    <n v="0"/>
  </r>
  <r>
    <x v="1"/>
    <x v="4"/>
    <x v="15"/>
    <x v="15"/>
    <s v="22200 Accrued Expenses"/>
    <s v="52-22800"/>
    <s v="Flex/LTD Payable"/>
    <n v="0"/>
    <n v="0"/>
    <m/>
    <n v="0"/>
  </r>
  <r>
    <x v="1"/>
    <x v="4"/>
    <x v="18"/>
    <x v="18"/>
    <s v="23000 Unearned Revenue"/>
    <s v="52-23000"/>
    <s v="Unearned Revenue"/>
    <n v="0"/>
    <n v="0"/>
    <m/>
    <n v="0"/>
  </r>
  <r>
    <x v="1"/>
    <x v="4"/>
    <x v="15"/>
    <x v="15"/>
    <s v="22200 Accrued Expenses"/>
    <s v="52-25100"/>
    <s v="Accrued Vacation"/>
    <n v="0"/>
    <n v="0"/>
    <m/>
    <n v="0"/>
  </r>
  <r>
    <x v="1"/>
    <x v="4"/>
    <x v="20"/>
    <x v="20"/>
    <s v="28000 Accrued Interest Payable"/>
    <s v="52-28000"/>
    <s v="Sewer Accrued Interest"/>
    <n v="0"/>
    <n v="0"/>
    <m/>
    <n v="0"/>
  </r>
  <r>
    <x v="1"/>
    <x v="4"/>
    <x v="24"/>
    <x v="24"/>
    <s v="28521 Capital Leases Payable - Current"/>
    <s v="52-28521"/>
    <s v="Lease Current Portion"/>
    <n v="0"/>
    <n v="0"/>
    <m/>
    <n v="0"/>
  </r>
  <r>
    <x v="1"/>
    <x v="4"/>
    <x v="25"/>
    <x v="25"/>
    <s v="28540 Bonds Payable - Non Current"/>
    <s v="52-28530"/>
    <s v="State of Utah Plant Note"/>
    <n v="0"/>
    <n v="0"/>
    <m/>
    <n v="0"/>
  </r>
  <r>
    <x v="1"/>
    <x v="4"/>
    <x v="23"/>
    <x v="23"/>
    <s v="28520 Capital Leases Payable  - Non Current"/>
    <s v="52-28570"/>
    <s v="Caterpillar Lease"/>
    <n v="0"/>
    <n v="0"/>
    <m/>
    <n v="0"/>
  </r>
  <r>
    <x v="2"/>
    <x v="4"/>
    <x v="27"/>
    <x v="27"/>
    <s v="29100 Unrestricted"/>
    <s v="52-29100"/>
    <s v="Fund Balance"/>
    <n v="0"/>
    <n v="0"/>
    <m/>
    <n v="0"/>
  </r>
  <r>
    <x v="3"/>
    <x v="4"/>
    <x v="29"/>
    <x v="29"/>
    <s v="70 Grant revenue"/>
    <s v="52-30-410"/>
    <s v="Grant Revenue"/>
    <n v="-5183000"/>
    <n v="-5183000"/>
    <n v="0"/>
    <n v="-8183000"/>
  </r>
  <r>
    <x v="3"/>
    <x v="4"/>
    <x v="28"/>
    <x v="28"/>
    <s v="30 Charges for services"/>
    <s v="52-30-465"/>
    <s v="Sewer Income"/>
    <n v="-685000"/>
    <n v="-685000"/>
    <n v="-883849.0285714285"/>
    <n v="-685000"/>
  </r>
  <r>
    <x v="3"/>
    <x v="4"/>
    <x v="30"/>
    <x v="30"/>
    <s v="960 Interest income"/>
    <s v="52-30-470"/>
    <s v="Interest &amp; Finance Charges"/>
    <n v="0"/>
    <n v="0"/>
    <m/>
    <n v="0"/>
  </r>
  <r>
    <x v="3"/>
    <x v="4"/>
    <x v="28"/>
    <x v="28"/>
    <s v="30 Charges for services"/>
    <s v="52-30-475"/>
    <s v="Other Income"/>
    <n v="-479.70000000000005"/>
    <n v="-480"/>
    <n v="0"/>
    <n v="-480"/>
  </r>
  <r>
    <x v="3"/>
    <x v="4"/>
    <x v="30"/>
    <x v="30"/>
    <s v="960 Interest income"/>
    <s v="52-30-505"/>
    <s v="Interest from Investments"/>
    <n v="-240000"/>
    <n v="-240000"/>
    <n v="-136551.84000000003"/>
    <n v="-240000"/>
  </r>
  <r>
    <x v="4"/>
    <x v="4"/>
    <x v="34"/>
    <x v="35"/>
    <s v="100 Salaries and Benefits"/>
    <s v="52-50-600"/>
    <s v="Salaries and Wages"/>
    <n v="240279.85554166665"/>
    <n v="240280"/>
    <n v="260161.37142857141"/>
    <n v="221514.31"/>
  </r>
  <r>
    <x v="4"/>
    <x v="4"/>
    <x v="34"/>
    <x v="35"/>
    <s v="100 Salaries and Benefits"/>
    <s v="52-50-601"/>
    <s v="Payroll Taxes"/>
    <n v="18381.408948937496"/>
    <n v="18381"/>
    <n v="21491.211428571431"/>
    <n v="16945.844714999999"/>
  </r>
  <r>
    <x v="4"/>
    <x v="4"/>
    <x v="34"/>
    <x v="35"/>
    <s v="100 Salaries and Benefits"/>
    <s v="52-50-602"/>
    <s v="Retirement"/>
    <n v="23075.381108333331"/>
    <n v="30000"/>
    <n v="48144.274285714288"/>
    <n v="31944.720000000001"/>
  </r>
  <r>
    <x v="4"/>
    <x v="4"/>
    <x v="34"/>
    <x v="35"/>
    <s v="100 Salaries and Benefits"/>
    <s v="52-50-603"/>
    <s v="Medical, LTD, Life, AD&amp;D"/>
    <n v="43334.661416597228"/>
    <n v="43335"/>
    <n v="52674.531428571434"/>
    <n v="50232.110999999997"/>
  </r>
  <r>
    <x v="4"/>
    <x v="4"/>
    <x v="34"/>
    <x v="35"/>
    <s v="100 Salaries and Benefits"/>
    <s v="52-50-604"/>
    <s v="Worker's Compensation"/>
    <n v="6099.0569357458326"/>
    <n v="6099"/>
    <n v="1723.2685714285717"/>
    <n v="4262.7552000000005"/>
  </r>
  <r>
    <x v="4"/>
    <x v="4"/>
    <x v="34"/>
    <x v="35"/>
    <s v="100 Salaries and Benefits"/>
    <s v="52-50-607"/>
    <s v="Vacation/Sick/Holiday"/>
    <n v="0"/>
    <n v="8000"/>
    <n v="21360.154285714285"/>
    <n v="0"/>
  </r>
  <r>
    <x v="4"/>
    <x v="4"/>
    <x v="34"/>
    <x v="35"/>
    <s v="100 Salaries and Benefits"/>
    <s v="52-50-608"/>
    <s v="Flex Plan"/>
    <n v="99"/>
    <n v="99"/>
    <n v="16.902857142857144"/>
    <n v="72"/>
  </r>
  <r>
    <x v="4"/>
    <x v="4"/>
    <x v="34"/>
    <x v="35"/>
    <s v="100 Salaries and Benefits"/>
    <s v="52-50-609"/>
    <s v="Employee/Vol Incentives"/>
    <n v="0"/>
    <n v="550"/>
    <n v="92.88"/>
    <n v="0"/>
  </r>
  <r>
    <x v="4"/>
    <x v="4"/>
    <x v="34"/>
    <x v="35"/>
    <s v="100 Salaries and Benefits"/>
    <s v="52-50-610"/>
    <s v="Other Benefits"/>
    <m/>
    <n v="0"/>
    <m/>
    <n v="0"/>
  </r>
  <r>
    <x v="4"/>
    <x v="4"/>
    <x v="35"/>
    <x v="36"/>
    <s v="200 General and Administrative"/>
    <s v="52-50-612"/>
    <s v="Supplies"/>
    <n v="5500"/>
    <n v="5500"/>
    <n v="9722.52"/>
    <n v="5500"/>
  </r>
  <r>
    <x v="4"/>
    <x v="4"/>
    <x v="35"/>
    <x v="36"/>
    <s v="200 General and Administrative"/>
    <s v="52-50-615"/>
    <s v="Dues and Subscriptions"/>
    <n v="0"/>
    <n v="5300"/>
    <n v="14928.102857142854"/>
    <n v="2800"/>
  </r>
  <r>
    <x v="4"/>
    <x v="4"/>
    <x v="35"/>
    <x v="36"/>
    <s v="200 General and Administrative"/>
    <s v="52-50-618"/>
    <s v="Accounting Services"/>
    <n v="10000"/>
    <n v="10000"/>
    <n v="12717.531428571428"/>
    <n v="10000"/>
  </r>
  <r>
    <x v="4"/>
    <x v="4"/>
    <x v="35"/>
    <x v="36"/>
    <s v="200 General and Administrative"/>
    <s v="52-50-619"/>
    <s v="IT Services"/>
    <n v="8000"/>
    <n v="8000"/>
    <n v="4470.6171428571433"/>
    <n v="8000"/>
  </r>
  <r>
    <x v="4"/>
    <x v="4"/>
    <x v="35"/>
    <x v="36"/>
    <s v="200 General and Administrative"/>
    <s v="52-50-620"/>
    <s v="Software"/>
    <n v="6000"/>
    <n v="6000"/>
    <n v="4342.8"/>
    <n v="6000"/>
  </r>
  <r>
    <x v="4"/>
    <x v="4"/>
    <x v="35"/>
    <x v="36"/>
    <s v="200 General and Administrative"/>
    <s v="52-50-622"/>
    <s v="Legal Services"/>
    <n v="10000"/>
    <n v="10000"/>
    <n v="4827.3942857142856"/>
    <n v="10000"/>
  </r>
  <r>
    <x v="4"/>
    <x v="4"/>
    <x v="35"/>
    <x v="36"/>
    <s v="200 General and Administrative"/>
    <s v="52-50-623"/>
    <s v="Advertising"/>
    <n v="500"/>
    <n v="500"/>
    <n v="53.485714285714288"/>
    <n v="500"/>
  </r>
  <r>
    <x v="4"/>
    <x v="4"/>
    <x v="35"/>
    <x v="36"/>
    <s v="200 General and Administrative"/>
    <s v="52-50-625"/>
    <s v="Special Studies"/>
    <m/>
    <n v="0"/>
    <m/>
    <n v="0"/>
  </r>
  <r>
    <x v="4"/>
    <x v="4"/>
    <x v="35"/>
    <x v="36"/>
    <s v="200 General and Administrative"/>
    <s v="52-50-629"/>
    <s v="Utilities-Communications"/>
    <n v="6500"/>
    <n v="6500"/>
    <n v="7745.7771428571423"/>
    <n v="6500"/>
  </r>
  <r>
    <x v="4"/>
    <x v="4"/>
    <x v="35"/>
    <x v="36"/>
    <s v="200 General and Administrative"/>
    <s v="52-50-635"/>
    <s v="Insurance"/>
    <n v="13800"/>
    <n v="13800"/>
    <n v="31679.38285714286"/>
    <n v="13800"/>
  </r>
  <r>
    <x v="4"/>
    <x v="4"/>
    <x v="36"/>
    <x v="37"/>
    <s v="500 Repairs and Maintenance"/>
    <s v="52-50-654"/>
    <s v="Vehicle Repairs and Maint"/>
    <n v="800"/>
    <n v="1850"/>
    <n v="1736.2971428571432"/>
    <n v="1000"/>
  </r>
  <r>
    <x v="4"/>
    <x v="4"/>
    <x v="36"/>
    <x v="37"/>
    <s v="500 Repairs and Maintenance"/>
    <s v="52-50-658"/>
    <s v="Vehicle Fuel"/>
    <n v="3000"/>
    <n v="3000"/>
    <n v="3900.7542857142853"/>
    <n v="3000"/>
  </r>
  <r>
    <x v="4"/>
    <x v="4"/>
    <x v="36"/>
    <x v="37"/>
    <s v="500 Repairs and Maintenance"/>
    <s v="52-50-659"/>
    <s v="Building Maintenance"/>
    <n v="4000"/>
    <n v="8000"/>
    <n v="16008.599999999999"/>
    <n v="4000"/>
  </r>
  <r>
    <x v="4"/>
    <x v="4"/>
    <x v="36"/>
    <x v="37"/>
    <s v="500 Repairs and Maintenance"/>
    <s v="52-50-661"/>
    <s v="Cleaning"/>
    <n v="0"/>
    <n v="0"/>
    <m/>
    <n v="0"/>
  </r>
  <r>
    <x v="4"/>
    <x v="4"/>
    <x v="35"/>
    <x v="36"/>
    <s v="200 General and Administrative"/>
    <s v="52-50-667"/>
    <s v="Backhoe Lease"/>
    <n v="0"/>
    <n v="0"/>
    <n v="0"/>
    <n v="20000"/>
  </r>
  <r>
    <x v="4"/>
    <x v="4"/>
    <x v="35"/>
    <x v="36"/>
    <s v="200 General and Administrative"/>
    <s v="52-50-671"/>
    <s v="Truck Lease"/>
    <n v="8000"/>
    <n v="8000"/>
    <n v="0"/>
    <n v="8000"/>
  </r>
  <r>
    <x v="4"/>
    <x v="4"/>
    <x v="35"/>
    <x v="36"/>
    <s v="200 General and Administrative"/>
    <s v="52-50-675"/>
    <s v="Bank and Finance Charges"/>
    <n v="3900"/>
    <n v="3900"/>
    <n v="4966.7485714285713"/>
    <n v="3900"/>
  </r>
  <r>
    <x v="4"/>
    <x v="4"/>
    <x v="35"/>
    <x v="36"/>
    <s v="200 General and Administrative"/>
    <s v="52-50-677"/>
    <s v="Travel and Conferences"/>
    <n v="1200"/>
    <n v="1200"/>
    <n v="1650.5828571428569"/>
    <n v="1200"/>
  </r>
  <r>
    <x v="4"/>
    <x v="4"/>
    <x v="35"/>
    <x v="36"/>
    <s v="200 General and Administrative"/>
    <s v="52-50-678"/>
    <s v="Meals"/>
    <n v="0"/>
    <n v="0"/>
    <m/>
    <n v="0"/>
  </r>
  <r>
    <x v="4"/>
    <x v="4"/>
    <x v="35"/>
    <x v="36"/>
    <s v="200 General and Administrative"/>
    <s v="52-50-684"/>
    <s v="Certs and Training"/>
    <n v="1000"/>
    <n v="1200"/>
    <n v="640.73142857142852"/>
    <n v="1200"/>
  </r>
  <r>
    <x v="4"/>
    <x v="4"/>
    <x v="35"/>
    <x v="36"/>
    <s v="200 General and Administrative"/>
    <s v="52-50-690"/>
    <s v="Computer &amp; Office Equipment"/>
    <n v="2000"/>
    <n v="0"/>
    <n v="1057.2857142857142"/>
    <n v="0"/>
  </r>
  <r>
    <x v="4"/>
    <x v="4"/>
    <x v="35"/>
    <x v="36"/>
    <s v="200 General and Administrative"/>
    <s v="52-50-694"/>
    <s v="Clothing and Protective Gear"/>
    <n v="1300"/>
    <n v="1300"/>
    <n v="1003.1485714285714"/>
    <n v="1300"/>
  </r>
  <r>
    <x v="4"/>
    <x v="4"/>
    <x v="35"/>
    <x v="36"/>
    <s v="200 General and Administrative"/>
    <s v="52-52-621"/>
    <s v="Engineering Services"/>
    <n v="15000"/>
    <n v="15000"/>
    <n v="1625.3485714285712"/>
    <n v="15000"/>
  </r>
  <r>
    <x v="4"/>
    <x v="4"/>
    <x v="35"/>
    <x v="36"/>
    <s v="200 General and Administrative"/>
    <s v="52-52-626"/>
    <s v="Electricity"/>
    <n v="25000"/>
    <n v="25000"/>
    <n v="32892.394285714283"/>
    <n v="25000"/>
  </r>
  <r>
    <x v="4"/>
    <x v="4"/>
    <x v="35"/>
    <x v="36"/>
    <s v="200 General and Administrative"/>
    <s v="52-52-633"/>
    <s v="Propane"/>
    <n v="25000"/>
    <n v="25000"/>
    <n v="8958.0514285714271"/>
    <n v="25000"/>
  </r>
  <r>
    <x v="4"/>
    <x v="4"/>
    <x v="35"/>
    <x v="36"/>
    <s v="200 General and Administrative"/>
    <s v="52-52-637"/>
    <s v="Alarm"/>
    <n v="1500"/>
    <n v="1500"/>
    <n v="2432.9142857142861"/>
    <n v="1500"/>
  </r>
  <r>
    <x v="4"/>
    <x v="4"/>
    <x v="36"/>
    <x v="37"/>
    <s v="500 Repairs and Maintenance"/>
    <s v="52-52-638"/>
    <s v="Repairs &amp; Maintenance"/>
    <n v="23000"/>
    <n v="30000"/>
    <n v="1901.4"/>
    <n v="23000"/>
  </r>
  <r>
    <x v="4"/>
    <x v="4"/>
    <x v="35"/>
    <x v="36"/>
    <s v="200 General and Administrative"/>
    <s v="52-52-643"/>
    <s v="Testing"/>
    <n v="35000"/>
    <n v="35000"/>
    <n v="10845.822857142855"/>
    <n v="35000"/>
  </r>
  <r>
    <x v="4"/>
    <x v="4"/>
    <x v="35"/>
    <x v="36"/>
    <s v="200 General and Administrative"/>
    <s v="52-52-646"/>
    <s v="Chemicals"/>
    <n v="7000"/>
    <n v="20000"/>
    <n v="12305.005714285715"/>
    <n v="20000"/>
  </r>
  <r>
    <x v="4"/>
    <x v="4"/>
    <x v="35"/>
    <x v="36"/>
    <s v="200 General and Administrative"/>
    <s v="52-52-648"/>
    <s v="Waste Disposal"/>
    <n v="17000"/>
    <n v="21000"/>
    <n v="2055.4285714285716"/>
    <n v="21000"/>
  </r>
  <r>
    <x v="4"/>
    <x v="4"/>
    <x v="38"/>
    <x v="39"/>
    <s v="970 Debt Principle Payments"/>
    <s v="52-52-668"/>
    <s v="Bond &amp; Debt Payments"/>
    <n v="430000"/>
    <n v="430000"/>
    <n v="0"/>
    <n v="430000"/>
  </r>
  <r>
    <x v="4"/>
    <x v="4"/>
    <x v="39"/>
    <x v="40"/>
    <s v="620 Interest Expense"/>
    <s v="52-52-674"/>
    <s v="Interest Expense"/>
    <n v="63620"/>
    <n v="63620"/>
    <n v="1514.6742857142856"/>
    <n v="63620"/>
  </r>
  <r>
    <x v="4"/>
    <x v="4"/>
    <x v="40"/>
    <x v="41"/>
    <s v="700 Depreciation and Amortization"/>
    <s v="52-52-688"/>
    <s v="Depreciation"/>
    <n v="111558.12"/>
    <n v="111558"/>
    <n v="109248.59999999999"/>
    <n v="111558"/>
  </r>
  <r>
    <x v="4"/>
    <x v="4"/>
    <x v="41"/>
    <x v="42"/>
    <s v="710 Capital Outlay"/>
    <s v="52-52-690"/>
    <s v="Capital Outlay WW Grant"/>
    <n v="5183000"/>
    <n v="0"/>
    <n v="2314898.1942857141"/>
    <n v="0"/>
  </r>
  <r>
    <x v="4"/>
    <x v="4"/>
    <x v="41"/>
    <x v="42"/>
    <s v="710 Capital Outlay"/>
    <s v="52-52-691"/>
    <s v="Capital Equipment"/>
    <n v="0"/>
    <n v="5866000"/>
    <n v="0"/>
    <n v="11180500"/>
  </r>
  <r>
    <x v="4"/>
    <x v="4"/>
    <x v="42"/>
    <x v="43"/>
    <s v="720 Gain/Loss on disposal"/>
    <s v="52-52-697"/>
    <s v="Loss on Disposal of Fix Asset"/>
    <n v="0"/>
    <n v="0"/>
    <m/>
    <n v="0"/>
  </r>
  <r>
    <x v="0"/>
    <x v="5"/>
    <x v="0"/>
    <x v="0"/>
    <s v="10000 Cash and Cash Equivalents"/>
    <s v="53-10000"/>
    <s v="Cash Combined Fund"/>
    <n v="0"/>
    <n v="0"/>
    <m/>
    <n v="0"/>
  </r>
  <r>
    <x v="0"/>
    <x v="5"/>
    <x v="19"/>
    <x v="19"/>
    <s v=" "/>
    <s v="53-10500"/>
    <s v="Restricted Cash"/>
    <n v="0"/>
    <n v="0"/>
    <m/>
    <n v="0"/>
  </r>
  <r>
    <x v="0"/>
    <x v="5"/>
    <x v="0"/>
    <x v="0"/>
    <s v="10000 Cash and Cash Equivalents"/>
    <s v="53-10620"/>
    <s v="8819 PTIF Public Garbage Reser"/>
    <n v="0"/>
    <n v="0"/>
    <m/>
    <n v="0"/>
  </r>
  <r>
    <x v="0"/>
    <x v="5"/>
    <x v="2"/>
    <x v="2"/>
    <s v="11500 Accounts Receivable"/>
    <s v="53-11500"/>
    <s v="Accounts Receivable"/>
    <n v="0"/>
    <n v="0"/>
    <m/>
    <n v="0"/>
  </r>
  <r>
    <x v="0"/>
    <x v="5"/>
    <x v="5"/>
    <x v="5"/>
    <s v="16320 Equipment"/>
    <s v="53-16500"/>
    <s v="Garbage Equipment"/>
    <n v="0"/>
    <n v="0"/>
    <m/>
    <n v="0"/>
  </r>
  <r>
    <x v="0"/>
    <x v="5"/>
    <x v="11"/>
    <x v="11"/>
    <s v="16900 Accumulated Depreciation"/>
    <s v="53-16900"/>
    <s v="Accumulated Depreciation"/>
    <n v="0"/>
    <n v="0"/>
    <m/>
    <n v="0"/>
  </r>
  <r>
    <x v="1"/>
    <x v="5"/>
    <x v="14"/>
    <x v="14"/>
    <s v="21100 Accounts Payable"/>
    <s v="53-21100"/>
    <s v="Accounts Payable"/>
    <n v="0"/>
    <n v="0"/>
    <m/>
    <n v="0"/>
  </r>
  <r>
    <x v="2"/>
    <x v="5"/>
    <x v="27"/>
    <x v="27"/>
    <s v="29100 Unrestricted"/>
    <s v="53-29100"/>
    <s v="Fund Balance"/>
    <n v="0"/>
    <n v="0"/>
    <m/>
    <n v="0"/>
  </r>
  <r>
    <x v="3"/>
    <x v="5"/>
    <x v="28"/>
    <x v="28"/>
    <s v="30 Charges for services"/>
    <s v="53-30-460"/>
    <s v="Garbage Income"/>
    <n v="-26000"/>
    <n v="-26000"/>
    <n v="0"/>
    <n v="-26000"/>
  </r>
  <r>
    <x v="3"/>
    <x v="5"/>
    <x v="30"/>
    <x v="30"/>
    <s v="960 Interest income"/>
    <s v="53-30-505"/>
    <s v="Interest from Investments"/>
    <n v="0"/>
    <n v="0"/>
    <m/>
    <n v="0"/>
  </r>
  <r>
    <x v="4"/>
    <x v="5"/>
    <x v="34"/>
    <x v="35"/>
    <s v="100 Salaries and Benefits"/>
    <s v="53-53-600"/>
    <s v="PW Salaries &amp; Wages"/>
    <m/>
    <m/>
    <n v="0"/>
    <m/>
  </r>
  <r>
    <x v="4"/>
    <x v="5"/>
    <x v="34"/>
    <x v="35"/>
    <s v="100 Salaries and Benefits"/>
    <s v="53-53-601"/>
    <s v="Payroll Taxes"/>
    <m/>
    <m/>
    <n v="0"/>
    <m/>
  </r>
  <r>
    <x v="4"/>
    <x v="5"/>
    <x v="34"/>
    <x v="35"/>
    <s v="100 Salaries and Benefits"/>
    <s v="53-53-602"/>
    <s v="Retirement"/>
    <m/>
    <m/>
    <n v="0"/>
    <m/>
  </r>
  <r>
    <x v="4"/>
    <x v="5"/>
    <x v="34"/>
    <x v="35"/>
    <s v="100 Salaries and Benefits"/>
    <s v="53-53-603"/>
    <s v="Medical, LTD, Life, AD&amp;D"/>
    <m/>
    <m/>
    <n v="0"/>
    <m/>
  </r>
  <r>
    <x v="4"/>
    <x v="5"/>
    <x v="34"/>
    <x v="35"/>
    <s v="100 Salaries and Benefits"/>
    <s v="53-53-604"/>
    <s v="Worker's Compensation"/>
    <m/>
    <m/>
    <n v="0"/>
    <m/>
  </r>
  <r>
    <x v="4"/>
    <x v="5"/>
    <x v="34"/>
    <x v="35"/>
    <s v="100 Salaries and Benefits"/>
    <s v="53-53-608"/>
    <s v="Flex Plan"/>
    <m/>
    <m/>
    <n v="0"/>
    <m/>
  </r>
  <r>
    <x v="4"/>
    <x v="5"/>
    <x v="35"/>
    <x v="36"/>
    <s v="200 General and Administrative"/>
    <s v="53-53-623"/>
    <s v="Advertising"/>
    <n v="0"/>
    <n v="0"/>
    <m/>
    <n v="0"/>
  </r>
  <r>
    <x v="4"/>
    <x v="5"/>
    <x v="35"/>
    <x v="36"/>
    <s v="200 General and Administrative"/>
    <s v="53-53-625"/>
    <s v="Special Studies"/>
    <m/>
    <n v="0"/>
    <m/>
    <n v="0"/>
  </r>
  <r>
    <x v="4"/>
    <x v="5"/>
    <x v="35"/>
    <x v="36"/>
    <s v="200 General and Administrative"/>
    <s v="53-53-638"/>
    <s v="Repairs &amp; Maintenance"/>
    <n v="4000"/>
    <n v="4000"/>
    <n v="0"/>
    <n v="4000"/>
  </r>
  <r>
    <x v="4"/>
    <x v="5"/>
    <x v="35"/>
    <x v="36"/>
    <s v="200 General and Administrative"/>
    <s v="53-53-649"/>
    <s v="Garbage Haul and Dump"/>
    <n v="18824"/>
    <n v="18824"/>
    <n v="0"/>
    <n v="18824"/>
  </r>
  <r>
    <x v="4"/>
    <x v="5"/>
    <x v="37"/>
    <x v="38"/>
    <s v="600 Bad Debt"/>
    <s v="53-53-664"/>
    <s v="Bad Debt Expense"/>
    <n v="0"/>
    <n v="0"/>
    <m/>
    <n v="0"/>
  </r>
  <r>
    <x v="4"/>
    <x v="5"/>
    <x v="40"/>
    <x v="41"/>
    <s v="700 Depreciation and Amortization"/>
    <s v="53-53-688"/>
    <s v="Depreciation"/>
    <n v="2122.2400000000002"/>
    <n v="2122"/>
    <n v="0"/>
    <n v="212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6">
  <r>
    <n v="1"/>
    <x v="0"/>
    <x v="0"/>
    <n v="10000"/>
    <s v="Cash and Cash Equivalents"/>
    <x v="0"/>
    <s v="20-10000"/>
    <s v="Cash Combined Fund"/>
    <n v="-743615.45"/>
    <n v="-870205.54"/>
    <m/>
    <n v="0"/>
    <n v="0"/>
    <n v="0"/>
  </r>
  <r>
    <n v="2"/>
    <x v="0"/>
    <x v="0"/>
    <n v="10000"/>
    <s v="Cash and Cash Equivalents"/>
    <x v="0"/>
    <s v="20-10400"/>
    <s v="Petty Cash"/>
    <n v="354"/>
    <n v="354"/>
    <m/>
    <n v="0"/>
    <n v="0"/>
    <n v="0"/>
  </r>
  <r>
    <n v="3"/>
    <x v="0"/>
    <x v="0"/>
    <n v="16200"/>
    <s v="Noncurrent restricted cash and investments"/>
    <x v="1"/>
    <s v="20-10500"/>
    <s v="Restricted Cash"/>
    <n v="84650"/>
    <n v="0"/>
    <m/>
    <n v="0"/>
    <n v="0"/>
    <n v="0"/>
  </r>
  <r>
    <n v="4"/>
    <x v="0"/>
    <x v="0"/>
    <n v="10000"/>
    <s v="Cash and Cash Equivalents"/>
    <x v="0"/>
    <s v="20-10610"/>
    <s v="0348 PTIF Fire Reserve"/>
    <n v="1040947.13"/>
    <n v="833452.13"/>
    <m/>
    <n v="0"/>
    <n v="0"/>
    <n v="0"/>
  </r>
  <r>
    <n v="5"/>
    <x v="0"/>
    <x v="0"/>
    <n v="16200"/>
    <s v="Noncurrent restricted cash and investments"/>
    <x v="1"/>
    <s v="20-10611"/>
    <s v="8554 PTIF Hazmat Reserve"/>
    <n v="0"/>
    <n v="0"/>
    <m/>
    <n v="0"/>
    <n v="0"/>
    <n v="0"/>
  </r>
  <r>
    <n v="6"/>
    <x v="0"/>
    <x v="0"/>
    <n v="10000"/>
    <s v="Cash and Cash Equivalents"/>
    <x v="0"/>
    <s v="20-10612"/>
    <s v="0348 PTIF Fire Reserve DUE2WL"/>
    <n v="-317383.14"/>
    <n v="0"/>
    <m/>
    <n v="0"/>
    <n v="0"/>
    <n v="0"/>
  </r>
  <r>
    <n v="7"/>
    <x v="0"/>
    <x v="0"/>
    <n v="11500"/>
    <s v="Accounts Receivable"/>
    <x v="2"/>
    <s v="20-11500"/>
    <s v="Accounts Receivable"/>
    <n v="113300.16"/>
    <n v="137220"/>
    <m/>
    <n v="0"/>
    <n v="0"/>
    <n v="0"/>
  </r>
  <r>
    <n v="8"/>
    <x v="0"/>
    <x v="0"/>
    <n v="11510"/>
    <s v="Property Tax Receivable"/>
    <x v="3"/>
    <s v="20-11520"/>
    <s v="Property Tax Receivable"/>
    <n v="37001.800000000003"/>
    <n v="13195.08"/>
    <m/>
    <n v="0"/>
    <n v="0"/>
    <n v="0"/>
  </r>
  <r>
    <n v="9"/>
    <x v="0"/>
    <x v="0"/>
    <n v="11500"/>
    <s v="Accounts Receivable"/>
    <x v="2"/>
    <s v="20-11570"/>
    <s v="Allow for Doubtful Accts"/>
    <n v="-5500"/>
    <n v="-5500"/>
    <m/>
    <n v="0"/>
    <n v="0"/>
    <n v="0"/>
  </r>
  <r>
    <n v="10"/>
    <x v="0"/>
    <x v="0"/>
    <n v="14300"/>
    <s v="Prepaid Expenses"/>
    <x v="4"/>
    <s v="20-14300"/>
    <s v="Prepaid Expenses"/>
    <n v="16704.849999999999"/>
    <n v="0"/>
    <m/>
    <n v="0"/>
    <n v="0"/>
    <n v="0"/>
  </r>
  <r>
    <n v="11"/>
    <x v="0"/>
    <x v="0"/>
    <n v="16320"/>
    <s v="Equipment"/>
    <x v="5"/>
    <s v="20-16000"/>
    <s v="Administrative Equipment"/>
    <n v="28943.79"/>
    <n v="28943.79"/>
    <m/>
    <n v="0"/>
    <n v="0"/>
    <n v="0"/>
  </r>
  <r>
    <n v="12"/>
    <x v="0"/>
    <x v="0"/>
    <n v="16350"/>
    <s v="Land"/>
    <x v="6"/>
    <s v="20-16005"/>
    <s v="Land"/>
    <n v="95583"/>
    <n v="95583"/>
    <m/>
    <n v="0"/>
    <n v="0"/>
    <n v="0"/>
  </r>
  <r>
    <n v="13"/>
    <x v="0"/>
    <x v="0"/>
    <n v="16320"/>
    <s v="Equipment"/>
    <x v="5"/>
    <s v="20-16010"/>
    <s v="Fire Equipment"/>
    <n v="364766.92"/>
    <n v="364766.92"/>
    <m/>
    <n v="0"/>
    <n v="0"/>
    <n v="0"/>
  </r>
  <r>
    <n v="14"/>
    <x v="0"/>
    <x v="0"/>
    <n v="16320"/>
    <s v="Equipment"/>
    <x v="5"/>
    <s v="20-16020"/>
    <s v="Vehicles"/>
    <n v="1238194.95"/>
    <n v="1238194.95"/>
    <m/>
    <n v="0"/>
    <n v="0"/>
    <n v="0"/>
  </r>
  <r>
    <n v="15"/>
    <x v="0"/>
    <x v="0"/>
    <n v="16330"/>
    <s v="Building and Improvements"/>
    <x v="7"/>
    <s v="20-16030"/>
    <s v="Fire Station"/>
    <n v="221674"/>
    <n v="221674"/>
    <m/>
    <n v="0"/>
    <n v="0"/>
    <n v="0"/>
  </r>
  <r>
    <n v="16"/>
    <x v="0"/>
    <x v="0"/>
    <n v="16330"/>
    <s v="Building and Improvements"/>
    <x v="7"/>
    <s v="20-16035"/>
    <s v="UDOT Hazmat Carport"/>
    <n v="125054.75"/>
    <n v="125054.75"/>
    <m/>
    <n v="0"/>
    <n v="0"/>
    <n v="0"/>
  </r>
  <r>
    <n v="17"/>
    <x v="0"/>
    <x v="0"/>
    <n v="16330"/>
    <s v="Building and Improvements"/>
    <x v="7"/>
    <s v="20-16040"/>
    <s v="UDOT Station 2"/>
    <n v="335634"/>
    <n v="335634"/>
    <m/>
    <n v="0"/>
    <n v="0"/>
    <n v="0"/>
  </r>
  <r>
    <n v="18"/>
    <x v="0"/>
    <x v="0"/>
    <n v="16320"/>
    <s v="Equipment"/>
    <x v="5"/>
    <s v="20-16100"/>
    <s v="Fixed Assets"/>
    <n v="213333.7"/>
    <n v="213333.7"/>
    <m/>
    <n v="0"/>
    <n v="0"/>
    <n v="0"/>
  </r>
  <r>
    <n v="19"/>
    <x v="0"/>
    <x v="0"/>
    <n v="16500"/>
    <s v="Right to use assets"/>
    <x v="8"/>
    <s v="20-16500"/>
    <s v="RUA - Equipment"/>
    <n v="0"/>
    <n v="0"/>
    <m/>
    <n v="0"/>
    <n v="0"/>
    <n v="0"/>
  </r>
  <r>
    <n v="20"/>
    <x v="0"/>
    <x v="0"/>
    <n v="16500"/>
    <s v="Right to use assets"/>
    <x v="8"/>
    <s v="20-16505"/>
    <s v="RUA - Buildings and Improvements"/>
    <n v="0"/>
    <n v="0"/>
    <m/>
    <n v="0"/>
    <n v="0"/>
    <n v="0"/>
  </r>
  <r>
    <n v="21"/>
    <x v="0"/>
    <x v="0"/>
    <n v="16600"/>
    <s v="Construction In Progress"/>
    <x v="9"/>
    <s v="20-16600"/>
    <s v="Construction in Progress"/>
    <n v="0"/>
    <n v="0"/>
    <m/>
    <n v="0"/>
    <n v="0"/>
    <n v="0"/>
  </r>
  <r>
    <n v="22"/>
    <x v="0"/>
    <x v="0"/>
    <n v="16800"/>
    <s v="Accumulated Amortization"/>
    <x v="10"/>
    <s v="20-16800"/>
    <s v="Accumulated Amortization"/>
    <n v="0"/>
    <n v="0"/>
    <m/>
    <n v="0"/>
    <n v="0"/>
    <n v="0"/>
  </r>
  <r>
    <n v="23"/>
    <x v="0"/>
    <x v="0"/>
    <n v="16900"/>
    <s v="Accumulated Depreciation"/>
    <x v="11"/>
    <s v="20-16900"/>
    <s v="Accumulated Depreciation"/>
    <n v="-1612230.33"/>
    <n v="-1658745.83"/>
    <m/>
    <n v="0"/>
    <n v="0"/>
    <n v="0"/>
  </r>
  <r>
    <n v="24"/>
    <x v="0"/>
    <x v="0"/>
    <n v="17000"/>
    <s v="Net Pension Asset"/>
    <x v="12"/>
    <s v="20-17000"/>
    <s v="Net Pension Asset"/>
    <n v="45371"/>
    <n v="45371"/>
    <m/>
    <n v="0"/>
    <n v="0"/>
    <n v="0"/>
  </r>
  <r>
    <n v="25"/>
    <x v="0"/>
    <x v="0"/>
    <n v="17010"/>
    <s v="Deferred Outflows - Pensions"/>
    <x v="13"/>
    <s v="20-17010"/>
    <s v="Deferred Outflows-Pensions"/>
    <n v="216455"/>
    <n v="216455"/>
    <m/>
    <n v="0"/>
    <n v="0"/>
    <n v="0"/>
  </r>
  <r>
    <n v="26"/>
    <x v="0"/>
    <x v="0"/>
    <n v="17010"/>
    <s v="Deferred Outflows - Pensions"/>
    <x v="13"/>
    <s v="20-19000"/>
    <s v="Suspense"/>
    <n v="0"/>
    <n v="0"/>
    <m/>
    <n v="0"/>
    <n v="0"/>
    <n v="0"/>
  </r>
  <r>
    <n v="27"/>
    <x v="1"/>
    <x v="0"/>
    <n v="21100"/>
    <s v="Accounts Payable"/>
    <x v="14"/>
    <s v="20-21100"/>
    <s v="Accounts Payable"/>
    <n v="-10073.34"/>
    <n v="8825.9699999999993"/>
    <m/>
    <n v="0"/>
    <n v="0"/>
    <n v="0"/>
  </r>
  <r>
    <n v="28"/>
    <x v="1"/>
    <x v="0"/>
    <n v="21100"/>
    <s v="Accounts Payable"/>
    <x v="14"/>
    <s v="20-21150"/>
    <s v="Retention Payable"/>
    <n v="0"/>
    <n v="0"/>
    <m/>
    <n v="0"/>
    <n v="0"/>
    <n v="0"/>
  </r>
  <r>
    <n v="29"/>
    <x v="1"/>
    <x v="0"/>
    <n v="22200"/>
    <s v="Accrued Expenses"/>
    <x v="15"/>
    <s v="20-22200"/>
    <s v="Salaries &amp; Wages Payable"/>
    <n v="-29805.29"/>
    <n v="-51010.18"/>
    <m/>
    <n v="0"/>
    <n v="0"/>
    <n v="0"/>
  </r>
  <r>
    <n v="30"/>
    <x v="1"/>
    <x v="0"/>
    <n v="22200"/>
    <s v="Accrued Expenses"/>
    <x v="15"/>
    <s v="20-22210"/>
    <s v="Payroll Taxes Payable"/>
    <n v="0"/>
    <n v="-8088.43"/>
    <m/>
    <n v="0"/>
    <n v="0"/>
    <n v="0"/>
  </r>
  <r>
    <n v="31"/>
    <x v="1"/>
    <x v="0"/>
    <n v="22200"/>
    <s v="Accrued Expenses"/>
    <x v="15"/>
    <s v="20-22500"/>
    <s v="Retirement Payable"/>
    <n v="0"/>
    <n v="-6350.2"/>
    <m/>
    <n v="0"/>
    <n v="0"/>
    <n v="0"/>
  </r>
  <r>
    <n v="32"/>
    <x v="1"/>
    <x v="0"/>
    <n v="28560"/>
    <s v="Net Pension Liability"/>
    <x v="16"/>
    <s v="20-22510"/>
    <s v="Net Pension Liability"/>
    <n v="-63695"/>
    <n v="-63695"/>
    <m/>
    <n v="0"/>
    <n v="0"/>
    <n v="0"/>
  </r>
  <r>
    <n v="33"/>
    <x v="1"/>
    <x v="0"/>
    <n v="22520"/>
    <s v="Deferred inflows"/>
    <x v="17"/>
    <s v="20-22520"/>
    <s v="Deferred Inflows-Pensions"/>
    <n v="-5921"/>
    <n v="-5921"/>
    <m/>
    <n v="0"/>
    <n v="0"/>
    <n v="0"/>
  </r>
  <r>
    <n v="34"/>
    <x v="1"/>
    <x v="0"/>
    <n v="22200"/>
    <s v="Accrued Expenses"/>
    <x v="15"/>
    <s v="20-22600"/>
    <s v="Payroll Benefits Payable"/>
    <n v="0"/>
    <n v="18.2"/>
    <m/>
    <n v="0"/>
    <n v="0"/>
    <n v="0"/>
  </r>
  <r>
    <n v="35"/>
    <x v="1"/>
    <x v="0"/>
    <n v="22200"/>
    <s v="Accrued Expenses"/>
    <x v="15"/>
    <s v="20-22700"/>
    <s v="Worker's Comp Payable"/>
    <n v="0"/>
    <n v="0"/>
    <m/>
    <n v="0"/>
    <n v="0"/>
    <n v="0"/>
  </r>
  <r>
    <n v="36"/>
    <x v="1"/>
    <x v="0"/>
    <n v="22200"/>
    <s v="Accrued Expenses"/>
    <x v="15"/>
    <s v="20-22800"/>
    <s v="Flex/LTD Payable"/>
    <n v="0"/>
    <n v="-130.77000000000001"/>
    <m/>
    <n v="0"/>
    <n v="0"/>
    <n v="0"/>
  </r>
  <r>
    <n v="37"/>
    <x v="1"/>
    <x v="0"/>
    <n v="23000"/>
    <s v="Unearned Revenue"/>
    <x v="18"/>
    <s v="20-23000"/>
    <s v="Unearned Revenue"/>
    <n v="-84650"/>
    <n v="-84650"/>
    <m/>
    <n v="0"/>
    <n v="0"/>
    <n v="0"/>
  </r>
  <r>
    <n v="38"/>
    <x v="1"/>
    <x v="0"/>
    <n v="22200"/>
    <s v="Accrued Expenses"/>
    <x v="15"/>
    <s v="20-25100"/>
    <s v="Accrued Vacation"/>
    <n v="-16358"/>
    <n v="-16358"/>
    <m/>
    <n v="0"/>
    <n v="0"/>
    <n v="0"/>
  </r>
  <r>
    <n v="39"/>
    <x v="1"/>
    <x v="0"/>
    <n v="22250"/>
    <s v="Compensated Absences Noncurrent"/>
    <x v="19"/>
    <s v="20-25125"/>
    <s v="Compensated Absences Noncurrent"/>
    <n v="-27782"/>
    <n v="-27782"/>
    <m/>
    <n v="0"/>
    <n v="0"/>
    <n v="0"/>
  </r>
  <r>
    <n v="41"/>
    <x v="1"/>
    <x v="0"/>
    <n v="28000"/>
    <s v="Accrued Interest Payable"/>
    <x v="20"/>
    <s v="20-28000"/>
    <s v="Accrued Interest Payable"/>
    <n v="-371.01"/>
    <n v="-371.01"/>
    <m/>
    <n v="0"/>
    <n v="0"/>
    <n v="0"/>
  </r>
  <r>
    <n v="42"/>
    <x v="1"/>
    <x v="0"/>
    <n v="28510"/>
    <s v="Notes Payable - Noncurrent"/>
    <x v="21"/>
    <s v="20-28510"/>
    <s v="Zions Bank - Station 2 Note"/>
    <n v="-67721.31"/>
    <n v="-57539.8"/>
    <m/>
    <n v="0"/>
    <n v="0"/>
    <n v="0"/>
  </r>
  <r>
    <n v="43"/>
    <x v="1"/>
    <x v="0"/>
    <n v="28505"/>
    <s v="Notes Payable - Current"/>
    <x v="22"/>
    <s v="20-28511"/>
    <s v="Note Current Portion"/>
    <n v="-20552"/>
    <n v="-20552"/>
    <m/>
    <n v="0"/>
    <n v="0"/>
    <n v="0"/>
  </r>
  <r>
    <n v="44"/>
    <x v="1"/>
    <x v="0"/>
    <n v="28520"/>
    <s v="capital Leases Payable  - Noncurrent"/>
    <x v="23"/>
    <s v="20-28520"/>
    <s v="Oshkosh capital - Fire Tender"/>
    <n v="0"/>
    <n v="0"/>
    <m/>
    <n v="0"/>
    <n v="0"/>
    <n v="0"/>
  </r>
  <r>
    <n v="45"/>
    <x v="1"/>
    <x v="0"/>
    <n v="28521"/>
    <s v="capital Leases Payable - Current"/>
    <x v="24"/>
    <s v="20-28521"/>
    <s v="Lease Current Portion"/>
    <n v="0"/>
    <n v="0"/>
    <m/>
    <n v="0"/>
    <n v="0"/>
    <n v="0"/>
  </r>
  <r>
    <n v="46"/>
    <x v="1"/>
    <x v="0"/>
    <n v="28505"/>
    <s v="Notes Payable - Current"/>
    <x v="22"/>
    <s v="20-28551"/>
    <s v="Ambulance Lease Current Portion"/>
    <n v="0"/>
    <n v="0"/>
    <m/>
    <n v="0"/>
    <n v="0"/>
    <n v="0"/>
  </r>
  <r>
    <n v="47"/>
    <x v="1"/>
    <x v="0"/>
    <n v="28540"/>
    <s v="Bonds Payable - Noncurrent"/>
    <x v="25"/>
    <s v="20-28560"/>
    <s v="Station Expansion Bond Payable"/>
    <n v="0"/>
    <n v="0"/>
    <m/>
    <n v="0"/>
    <n v="0"/>
    <n v="0"/>
  </r>
  <r>
    <n v="48"/>
    <x v="1"/>
    <x v="0"/>
    <n v="28541"/>
    <s v="Bonds Payable - Current"/>
    <x v="26"/>
    <s v="20-28561"/>
    <s v="Station Bond Current Portion"/>
    <n v="0"/>
    <n v="0"/>
    <m/>
    <n v="0"/>
    <n v="0"/>
    <n v="0"/>
  </r>
  <r>
    <n v="49"/>
    <x v="1"/>
    <x v="0"/>
    <n v="28510"/>
    <s v="Notes Payable - Noncurrent"/>
    <x v="21"/>
    <s v="20-28570"/>
    <s v="Ambulance Lease"/>
    <n v="0"/>
    <n v="0"/>
    <m/>
    <n v="0"/>
    <n v="0"/>
    <n v="0"/>
  </r>
  <r>
    <n v="50"/>
    <x v="2"/>
    <x v="0"/>
    <n v="29100"/>
    <s v="Unrestricted"/>
    <x v="27"/>
    <s v="20-29100"/>
    <s v="Fund Balance"/>
    <n v="-1363013.38"/>
    <n v="-1172311.18"/>
    <m/>
    <n v="0"/>
    <n v="0"/>
    <n v="0"/>
  </r>
  <r>
    <n v="51"/>
    <x v="3"/>
    <x v="0"/>
    <n v="30"/>
    <s v="Charges for services"/>
    <x v="28"/>
    <s v="20-30-200"/>
    <s v="Fire Response"/>
    <n v="0"/>
    <n v="0"/>
    <n v="0"/>
    <n v="0"/>
    <n v="0"/>
    <n v="0"/>
  </r>
  <r>
    <n v="52"/>
    <x v="3"/>
    <x v="0"/>
    <n v="30"/>
    <s v="Charges for services"/>
    <x v="28"/>
    <s v="20-30-400"/>
    <s v="Fire Fees"/>
    <n v="-870179.09"/>
    <n v="-729867.04"/>
    <n v="-973156.05333333334"/>
    <n v="-898000"/>
    <n v="-898000"/>
    <n v="-933078.32"/>
  </r>
  <r>
    <n v="53"/>
    <x v="3"/>
    <x v="0"/>
    <n v="70"/>
    <s v="Grant revenue"/>
    <x v="29"/>
    <s v="20-30-410"/>
    <s v="Fire/EMS Grants"/>
    <n v="-14130"/>
    <n v="-3449"/>
    <n v="-4598.666666666667"/>
    <n v="-100000"/>
    <n v="-100000"/>
    <n v="-55250"/>
  </r>
  <r>
    <n v="54"/>
    <x v="3"/>
    <x v="0"/>
    <n v="30"/>
    <s v="Charges for services"/>
    <x v="28"/>
    <s v="20-30-425"/>
    <s v="Ambulance Income"/>
    <n v="-175806.99"/>
    <n v="-64465.95"/>
    <n v="-85954.6"/>
    <n v="-140000"/>
    <n v="-140000"/>
    <n v="-156000"/>
  </r>
  <r>
    <n v="55"/>
    <x v="3"/>
    <x v="0"/>
    <n v="960"/>
    <s v="Interest income"/>
    <x v="30"/>
    <s v="20-30-470"/>
    <s v="Interest &amp; Finance Charges"/>
    <n v="-9303.2999999999993"/>
    <n v="-3247.73"/>
    <n v="-4330.3066666666664"/>
    <n v="-14000"/>
    <n v="-14000"/>
    <n v="-9000"/>
  </r>
  <r>
    <n v="56"/>
    <x v="3"/>
    <x v="0"/>
    <n v="40"/>
    <s v="Miscellaneous income"/>
    <x v="31"/>
    <s v="20-30-475"/>
    <s v="Other Income"/>
    <n v="-775"/>
    <n v="0"/>
    <n v="0"/>
    <n v="-1300"/>
    <n v="-1300"/>
    <n v="-1300"/>
  </r>
  <r>
    <n v="57"/>
    <x v="3"/>
    <x v="0"/>
    <n v="950"/>
    <s v="Property Taxes"/>
    <x v="32"/>
    <s v="20-30-500"/>
    <s v="Property Tax Income"/>
    <n v="-102677.18"/>
    <n v="-6902.11"/>
    <n v="-9202.8133333333317"/>
    <n v="-85000"/>
    <n v="-85000"/>
    <n v="-85000"/>
  </r>
  <r>
    <n v="58"/>
    <x v="3"/>
    <x v="0"/>
    <n v="960"/>
    <s v="Interest income"/>
    <x v="30"/>
    <s v="20-30-505"/>
    <s v="Interest on Investments"/>
    <n v="-35801.94"/>
    <n v="-25238.14"/>
    <n v="-33650.853333333333"/>
    <n v="-25000"/>
    <n v="-25000"/>
    <n v="-31000"/>
  </r>
  <r>
    <n v="59"/>
    <x v="3"/>
    <x v="0"/>
    <n v="60"/>
    <s v="Donations"/>
    <x v="33"/>
    <s v="20-30-510"/>
    <s v="Donations and Fund Raising"/>
    <n v="-19533.349999999999"/>
    <n v="-12514.72"/>
    <n v="-16686.293333333331"/>
    <n v="-15000"/>
    <n v="-15000"/>
    <n v="-15000"/>
  </r>
  <r>
    <n v="60"/>
    <x v="3"/>
    <x v="0"/>
    <n v="30"/>
    <s v="Charges for services"/>
    <x v="28"/>
    <s v="20-30-520"/>
    <s v="Contract Fees - Utah County"/>
    <n v="-63232.45"/>
    <n v="-88636.21"/>
    <n v="-88636.21"/>
    <n v="-80000"/>
    <n v="-88000"/>
    <n v="-100000"/>
  </r>
  <r>
    <n v="62"/>
    <x v="4"/>
    <x v="0"/>
    <n v="100"/>
    <s v="Salaries and Benefits"/>
    <x v="34"/>
    <s v="20-45-600"/>
    <s v="Salaries &amp; Wages"/>
    <n v="739589.77"/>
    <n v="581541.52"/>
    <n v="775388.69333333336"/>
    <n v="821625"/>
    <n v="821625"/>
    <n v="752263.28600000008"/>
  </r>
  <r>
    <n v="63"/>
    <x v="4"/>
    <x v="0"/>
    <n v="100"/>
    <s v="Salaries and Benefits"/>
    <x v="34"/>
    <s v="20-45-601"/>
    <s v="Payroll Taxes"/>
    <n v="51047.77"/>
    <n v="44878.22"/>
    <n v="59837.626666666663"/>
    <n v="62854.312500000007"/>
    <n v="62854.31"/>
    <n v="57548.141378999993"/>
  </r>
  <r>
    <n v="64"/>
    <x v="4"/>
    <x v="0"/>
    <n v="100"/>
    <s v="Salaries and Benefits"/>
    <x v="34"/>
    <s v="20-45-602"/>
    <s v="Retirement"/>
    <n v="134808.56"/>
    <n v="116958.44"/>
    <n v="155944.58666666667"/>
    <n v="125685"/>
    <n v="157685"/>
    <n v="98664.842199999999"/>
  </r>
  <r>
    <n v="65"/>
    <x v="4"/>
    <x v="0"/>
    <n v="100"/>
    <s v="Salaries and Benefits"/>
    <x v="34"/>
    <s v="20-45-603"/>
    <s v="Medical, LTD, Life, AD&amp;D"/>
    <n v="104545.86"/>
    <n v="103997.06"/>
    <n v="138662.74666666667"/>
    <n v="277457.47499999998"/>
    <n v="277457.48"/>
    <n v="183789.54084"/>
  </r>
  <r>
    <n v="66"/>
    <x v="4"/>
    <x v="0"/>
    <n v="100"/>
    <s v="Salaries and Benefits"/>
    <x v="34"/>
    <s v="20-45-604"/>
    <s v="Worker's Compensation"/>
    <n v="15223.65"/>
    <n v="8700.5499999999993"/>
    <n v="11600.733333333332"/>
    <n v="16432.5"/>
    <n v="16432.5"/>
    <n v="15045.265719999999"/>
  </r>
  <r>
    <n v="67"/>
    <x v="4"/>
    <x v="0"/>
    <n v="100"/>
    <s v="Salaries and Benefits"/>
    <x v="34"/>
    <s v="20-45-607"/>
    <s v="Vacation/Sick/Holiday"/>
    <n v="20454.900000000001"/>
    <n v="10668.49"/>
    <n v="14224.653333333332"/>
    <n v="0"/>
    <n v="0"/>
    <n v="0"/>
  </r>
  <r>
    <n v="68"/>
    <x v="4"/>
    <x v="0"/>
    <n v="100"/>
    <s v="Salaries and Benefits"/>
    <x v="34"/>
    <s v="20-45-608"/>
    <s v="Flex Plan"/>
    <n v="50.11"/>
    <n v="71.680000000000007"/>
    <n v="95.573333333333338"/>
    <n v="38.400000000000006"/>
    <n v="100"/>
    <n v="38.400000000000006"/>
  </r>
  <r>
    <n v="69"/>
    <x v="4"/>
    <x v="0"/>
    <n v="100"/>
    <s v="Salaries and Benefits"/>
    <x v="34"/>
    <s v="20-45-609"/>
    <s v="Volunteer Incentives"/>
    <n v="6326.44"/>
    <n v="634.02"/>
    <n v="845.3599999999999"/>
    <n v="5000"/>
    <n v="2000"/>
    <n v="5000"/>
  </r>
  <r>
    <n v="70"/>
    <x v="4"/>
    <x v="0"/>
    <n v="100"/>
    <s v="Salaries and Benefits"/>
    <x v="34"/>
    <s v="20-45-610"/>
    <s v="Volunteer Recruitment"/>
    <n v="6782.91"/>
    <n v="1105.69"/>
    <n v="1474.2533333333336"/>
    <n v="0"/>
    <n v="3500"/>
    <n v="3500"/>
  </r>
  <r>
    <n v="71"/>
    <x v="4"/>
    <x v="0"/>
    <n v="200"/>
    <s v="General and Administrative"/>
    <x v="35"/>
    <s v="20-45-612"/>
    <s v="Supplies"/>
    <n v="21264.880000000001"/>
    <n v="12289.65"/>
    <n v="16386.2"/>
    <n v="20000"/>
    <n v="20000"/>
    <n v="20000"/>
  </r>
  <r>
    <n v="72"/>
    <x v="4"/>
    <x v="0"/>
    <n v="200"/>
    <s v="General and Administrative"/>
    <x v="35"/>
    <s v="20-45-614"/>
    <s v="Medical Supplies &amp; Equipment"/>
    <n v="20954.54"/>
    <n v="16269.74"/>
    <n v="21692.986666666664"/>
    <n v="25000"/>
    <n v="25000"/>
    <n v="25000"/>
  </r>
  <r>
    <n v="73"/>
    <x v="4"/>
    <x v="0"/>
    <n v="200"/>
    <s v="General and Administrative"/>
    <x v="35"/>
    <s v="20-45-615"/>
    <s v="Dues and Subscriptions"/>
    <n v="31566.68"/>
    <n v="37018.879999999997"/>
    <n v="49358.506666666661"/>
    <n v="20000"/>
    <n v="45000"/>
    <n v="35000"/>
  </r>
  <r>
    <n v="74"/>
    <x v="4"/>
    <x v="0"/>
    <n v="200"/>
    <s v="General and Administrative"/>
    <x v="35"/>
    <s v="20-45-617"/>
    <s v="Dispatch Assesment"/>
    <n v="0"/>
    <n v="0"/>
    <n v="0"/>
    <n v="0"/>
    <n v="0"/>
    <n v="0"/>
  </r>
  <r>
    <n v="75"/>
    <x v="4"/>
    <x v="0"/>
    <n v="200"/>
    <s v="General and Administrative"/>
    <x v="35"/>
    <s v="20-45-618"/>
    <s v="Accounting Services"/>
    <n v="14375.09"/>
    <n v="7418.63"/>
    <n v="9891.5066666666662"/>
    <n v="17000"/>
    <n v="17000"/>
    <n v="17000"/>
  </r>
  <r>
    <n v="76"/>
    <x v="4"/>
    <x v="0"/>
    <n v="200"/>
    <s v="General and Administrative"/>
    <x v="35"/>
    <s v="20-45-619"/>
    <s v="IT Services"/>
    <n v="6671.59"/>
    <n v="3026.64"/>
    <n v="4035.5199999999995"/>
    <n v="8000"/>
    <n v="8000"/>
    <n v="8000"/>
  </r>
  <r>
    <n v="77"/>
    <x v="4"/>
    <x v="0"/>
    <n v="200"/>
    <s v="General and Administrative"/>
    <x v="35"/>
    <s v="20-45-620"/>
    <s v="Software"/>
    <n v="6536.57"/>
    <n v="2533.35"/>
    <n v="3377.8"/>
    <n v="4500"/>
    <n v="4700"/>
    <n v="4700"/>
  </r>
  <r>
    <n v="78"/>
    <x v="4"/>
    <x v="0"/>
    <n v="200"/>
    <s v="General and Administrative"/>
    <x v="35"/>
    <s v="20-45-621"/>
    <s v="Engineering Services"/>
    <n v="21417.5"/>
    <n v="3157.5"/>
    <n v="4210"/>
    <n v="35000"/>
    <n v="35000"/>
    <n v="35000"/>
  </r>
  <r>
    <n v="79"/>
    <x v="4"/>
    <x v="0"/>
    <n v="200"/>
    <s v="General and Administrative"/>
    <x v="35"/>
    <s v="20-45-622"/>
    <s v="Legal Services"/>
    <n v="9921.75"/>
    <n v="4995.79"/>
    <n v="6661.0533333333333"/>
    <n v="10000"/>
    <n v="10000"/>
    <n v="10000"/>
  </r>
  <r>
    <n v="80"/>
    <x v="4"/>
    <x v="0"/>
    <n v="200"/>
    <s v="General and Administrative"/>
    <x v="35"/>
    <s v="20-45-623"/>
    <s v="Advertising"/>
    <n v="215.24"/>
    <n v="0"/>
    <n v="0"/>
    <n v="250"/>
    <n v="250"/>
    <n v="250"/>
  </r>
  <r>
    <n v="81"/>
    <x v="4"/>
    <x v="0"/>
    <n v="200"/>
    <s v="General and Administrative"/>
    <x v="35"/>
    <s v="20-45-624"/>
    <s v="UDOT Station 2 Electricity"/>
    <n v="545.86"/>
    <n v="495.74"/>
    <n v="660.98666666666668"/>
    <n v="500"/>
    <n v="758.24"/>
    <n v="800"/>
  </r>
  <r>
    <n v="82"/>
    <x v="4"/>
    <x v="0"/>
    <n v="200"/>
    <s v="General and Administrative"/>
    <x v="35"/>
    <s v="20-45-625"/>
    <s v="Special Studies"/>
    <n v="0"/>
    <n v="10000"/>
    <n v="13333.333333333332"/>
    <m/>
    <n v="10000"/>
    <n v="0"/>
  </r>
  <r>
    <n v="83"/>
    <x v="4"/>
    <x v="0"/>
    <n v="200"/>
    <s v="General and Administrative"/>
    <x v="35"/>
    <s v="20-45-629"/>
    <s v="Utilities-Communications"/>
    <n v="7705.41"/>
    <n v="6219.05"/>
    <n v="8292.0666666666675"/>
    <n v="8000"/>
    <n v="10798.38"/>
    <n v="11000"/>
  </r>
  <r>
    <n v="84"/>
    <x v="4"/>
    <x v="0"/>
    <n v="200"/>
    <s v="General and Administrative"/>
    <x v="35"/>
    <s v="20-45-630"/>
    <s v="Telephone"/>
    <n v="0"/>
    <n v="0"/>
    <n v="0"/>
    <n v="0"/>
    <n v="0"/>
    <n v="0"/>
  </r>
  <r>
    <n v="85"/>
    <x v="4"/>
    <x v="0"/>
    <n v="200"/>
    <s v="General and Administrative"/>
    <x v="35"/>
    <s v="20-45-632"/>
    <s v="Propane Station 2"/>
    <n v="2951.53"/>
    <n v="1447.2"/>
    <n v="1929.6000000000001"/>
    <n v="4500"/>
    <n v="2894.4"/>
    <n v="3000"/>
  </r>
  <r>
    <n v="86"/>
    <x v="4"/>
    <x v="0"/>
    <n v="200"/>
    <s v="General and Administrative"/>
    <x v="35"/>
    <s v="20-45-635"/>
    <s v="Insurance"/>
    <n v="19165.37"/>
    <n v="22535.47"/>
    <n v="30047.293333333335"/>
    <n v="20000"/>
    <n v="25000"/>
    <n v="25000"/>
  </r>
  <r>
    <n v="87"/>
    <x v="4"/>
    <x v="0"/>
    <n v="200"/>
    <s v="General and Administrative"/>
    <x v="35"/>
    <s v="20-45-636"/>
    <s v="Rent"/>
    <n v="0"/>
    <n v="0"/>
    <n v="0"/>
    <n v="0"/>
    <n v="0"/>
    <n v="0"/>
  </r>
  <r>
    <n v="88"/>
    <x v="4"/>
    <x v="0"/>
    <n v="500"/>
    <s v="Repairs and Maintenance"/>
    <x v="36"/>
    <s v="20-45-638"/>
    <s v="Repairs &amp; Maintenance"/>
    <n v="2727"/>
    <n v="620"/>
    <n v="826.66666666666663"/>
    <n v="5500"/>
    <n v="5500"/>
    <n v="5500"/>
  </r>
  <r>
    <n v="89"/>
    <x v="4"/>
    <x v="0"/>
    <n v="200"/>
    <s v="General and Administrative"/>
    <x v="35"/>
    <s v="20-45-653"/>
    <s v="DOH Assessment"/>
    <n v="0"/>
    <n v="0"/>
    <n v="0"/>
    <n v="0"/>
    <n v="0"/>
    <n v="0"/>
  </r>
  <r>
    <n v="90"/>
    <x v="4"/>
    <x v="0"/>
    <n v="500"/>
    <s v="Repairs and Maintenance"/>
    <x v="36"/>
    <s v="20-45-654"/>
    <s v="Vehicles Repairs &amp; Maintenance"/>
    <n v="22279.439999999999"/>
    <n v="9310.7099999999991"/>
    <n v="12414.279999999999"/>
    <n v="25000"/>
    <n v="25000"/>
    <n v="20000"/>
  </r>
  <r>
    <n v="91"/>
    <x v="4"/>
    <x v="0"/>
    <n v="500"/>
    <s v="Repairs and Maintenance"/>
    <x v="36"/>
    <s v="20-45-658"/>
    <s v="Vehicle Fuel"/>
    <n v="6283.98"/>
    <n v="4848.12"/>
    <n v="6464.16"/>
    <n v="8000"/>
    <n v="8000"/>
    <n v="8500"/>
  </r>
  <r>
    <n v="92"/>
    <x v="4"/>
    <x v="0"/>
    <n v="500"/>
    <s v="Repairs and Maintenance"/>
    <x v="36"/>
    <s v="20-45-659"/>
    <s v="Building Maintenance"/>
    <n v="8853.6200000000008"/>
    <n v="6718.13"/>
    <n v="8957.5066666666662"/>
    <n v="20000"/>
    <n v="12570"/>
    <n v="15000"/>
  </r>
  <r>
    <n v="93"/>
    <x v="4"/>
    <x v="0"/>
    <n v="500"/>
    <s v="Repairs and Maintenance"/>
    <x v="36"/>
    <s v="20-45-661"/>
    <s v="Cleaning"/>
    <n v="0"/>
    <n v="0"/>
    <n v="0"/>
    <n v="0"/>
    <n v="0"/>
    <n v="0"/>
  </r>
  <r>
    <n v="94"/>
    <x v="4"/>
    <x v="0"/>
    <n v="600"/>
    <s v="Bad Debt"/>
    <x v="37"/>
    <s v="20-45-664"/>
    <s v="Bad Debt Expense"/>
    <n v="0"/>
    <n v="0"/>
    <n v="0"/>
    <n v="0"/>
    <n v="0"/>
    <n v="0"/>
  </r>
  <r>
    <n v="95"/>
    <x v="4"/>
    <x v="0"/>
    <n v="200"/>
    <s v="General and Administrative"/>
    <x v="35"/>
    <s v="20-45-666"/>
    <s v="Station 2 Lease"/>
    <n v="0"/>
    <n v="0"/>
    <n v="0"/>
    <n v="26070.91"/>
    <n v="24470.49"/>
    <n v="24470.49"/>
  </r>
  <r>
    <n v="96"/>
    <x v="4"/>
    <x v="0"/>
    <n v="200"/>
    <s v="General and Administrative"/>
    <x v="35"/>
    <s v="20-45-669"/>
    <s v="Fire Trucks Leases"/>
    <n v="0"/>
    <n v="0"/>
    <n v="0"/>
    <n v="0"/>
    <n v="0"/>
    <n v="0"/>
  </r>
  <r>
    <n v="97"/>
    <x v="4"/>
    <x v="0"/>
    <n v="200"/>
    <s v="General and Administrative"/>
    <x v="35"/>
    <s v="20-45-670"/>
    <s v="Ambulance Lease"/>
    <n v="0"/>
    <n v="0"/>
    <n v="0"/>
    <n v="0"/>
    <n v="0"/>
    <n v="0"/>
  </r>
  <r>
    <n v="98"/>
    <x v="4"/>
    <x v="0"/>
    <n v="200"/>
    <s v="General and Administrative"/>
    <x v="35"/>
    <s v="20-45-671"/>
    <s v="Truck Lease"/>
    <n v="0"/>
    <n v="0"/>
    <n v="0"/>
    <n v="0"/>
    <n v="0"/>
    <n v="0"/>
  </r>
  <r>
    <n v="99"/>
    <x v="4"/>
    <x v="0"/>
    <n v="970"/>
    <s v="Debt Principle Payments"/>
    <x v="38"/>
    <s v="20-45-672"/>
    <s v="Station Expansion Bond"/>
    <n v="0"/>
    <n v="0"/>
    <n v="0"/>
    <n v="0"/>
    <n v="20552"/>
    <n v="21531.4"/>
  </r>
  <r>
    <n v="100"/>
    <x v="4"/>
    <x v="0"/>
    <n v="620"/>
    <s v="Interest Expense"/>
    <x v="39"/>
    <s v="20-45-674"/>
    <s v="Interest Expense"/>
    <n v="3504.2"/>
    <n v="0"/>
    <n v="0"/>
    <n v="9000"/>
    <n v="3918.4900000000002"/>
    <n v="2939.1"/>
  </r>
  <r>
    <n v="101"/>
    <x v="4"/>
    <x v="0"/>
    <n v="200"/>
    <s v="General and Administrative"/>
    <x v="35"/>
    <s v="20-45-675"/>
    <s v="Bank Fees/CC Processing Fees"/>
    <n v="13636.88"/>
    <n v="6189.78"/>
    <n v="8253.0400000000009"/>
    <n v="11500"/>
    <n v="11500"/>
    <n v="11500"/>
  </r>
  <r>
    <n v="102"/>
    <x v="4"/>
    <x v="0"/>
    <n v="200"/>
    <s v="General and Administrative"/>
    <x v="35"/>
    <s v="20-45-677"/>
    <s v="Travel/Conf/Meals"/>
    <n v="3969.84"/>
    <n v="159.57"/>
    <n v="212.76"/>
    <n v="4500"/>
    <n v="4500"/>
    <n v="4500"/>
  </r>
  <r>
    <n v="103"/>
    <x v="4"/>
    <x v="0"/>
    <n v="200"/>
    <s v="General and Administrative"/>
    <x v="35"/>
    <s v="20-45-678"/>
    <s v="Meals"/>
    <n v="0"/>
    <n v="0"/>
    <n v="0"/>
    <n v="0"/>
    <n v="0"/>
    <n v="0"/>
  </r>
  <r>
    <n v="104"/>
    <x v="4"/>
    <x v="0"/>
    <n v="200"/>
    <s v="General and Administrative"/>
    <x v="35"/>
    <s v="20-45-680"/>
    <s v="Collections Expense"/>
    <n v="0"/>
    <n v="0"/>
    <n v="0"/>
    <n v="0"/>
    <n v="0"/>
    <n v="0"/>
  </r>
  <r>
    <n v="105"/>
    <x v="4"/>
    <x v="0"/>
    <n v="200"/>
    <s v="General and Administrative"/>
    <x v="35"/>
    <s v="20-45-681"/>
    <s v="Training"/>
    <n v="10706.55"/>
    <n v="6870.67"/>
    <n v="9160.8933333333334"/>
    <n v="11000"/>
    <n v="11000"/>
    <n v="11000"/>
  </r>
  <r>
    <n v="106"/>
    <x v="4"/>
    <x v="0"/>
    <n v="200"/>
    <s v="General and Administrative"/>
    <x v="35"/>
    <s v="20-45-682"/>
    <s v="Grant Recruitment/Retention"/>
    <n v="0"/>
    <n v="0"/>
    <n v="0"/>
    <n v="2000"/>
    <n v="2000"/>
    <n v="2000"/>
  </r>
  <r>
    <n v="107"/>
    <x v="4"/>
    <x v="0"/>
    <n v="200"/>
    <s v="General and Administrative"/>
    <x v="35"/>
    <s v="20-45-683"/>
    <s v="License &amp; Certification"/>
    <n v="896.6"/>
    <n v="674.79"/>
    <n v="899.71999999999991"/>
    <n v="2000"/>
    <n v="2000"/>
    <n v="2000"/>
  </r>
  <r>
    <n v="108"/>
    <x v="4"/>
    <x v="0"/>
    <n v="200"/>
    <s v="General and Administrative"/>
    <x v="35"/>
    <s v="20-45-685"/>
    <s v="Fund Raising"/>
    <n v="1090.6099999999999"/>
    <n v="3361.38"/>
    <n v="4481.84"/>
    <n v="1000"/>
    <n v="5000"/>
    <n v="2500"/>
  </r>
  <r>
    <n v="109"/>
    <x v="4"/>
    <x v="0"/>
    <n v="200"/>
    <s v="General and Administrative"/>
    <x v="35"/>
    <s v="20-45-687"/>
    <s v="Evacuation Equip &amp; Supplies"/>
    <n v="0"/>
    <n v="0"/>
    <n v="0"/>
    <n v="0"/>
    <n v="0"/>
    <n v="0"/>
  </r>
  <r>
    <n v="110"/>
    <x v="4"/>
    <x v="0"/>
    <n v="700"/>
    <s v="Depreciation and Amortization"/>
    <x v="40"/>
    <s v="20-45-688"/>
    <s v="Depreciation"/>
    <n v="111637.21"/>
    <n v="46515.5"/>
    <n v="62020.666666666664"/>
    <n v="110000"/>
    <n v="110000"/>
    <n v="110000"/>
  </r>
  <r>
    <n v="111"/>
    <x v="4"/>
    <x v="0"/>
    <n v="710"/>
    <s v="capital Outlay"/>
    <x v="41"/>
    <s v="20-45-690"/>
    <s v="capital outlay"/>
    <n v="0"/>
    <n v="0"/>
    <n v="0"/>
    <n v="0"/>
    <n v="0"/>
    <n v="0"/>
  </r>
  <r>
    <n v="112"/>
    <x v="4"/>
    <x v="0"/>
    <n v="710"/>
    <s v="capital Outlay"/>
    <x v="41"/>
    <s v="20-45-691"/>
    <s v="capital Equipment"/>
    <n v="0"/>
    <n v="0"/>
    <n v="0"/>
    <n v="0"/>
    <n v="0"/>
    <n v="619000"/>
  </r>
  <r>
    <n v="113"/>
    <x v="4"/>
    <x v="0"/>
    <n v="200"/>
    <s v="General and Administrative"/>
    <x v="35"/>
    <s v="20-45-694"/>
    <s v="Clothing &amp; Protective Gear"/>
    <n v="16599.8"/>
    <n v="5036.1099999999997"/>
    <n v="6714.8133333333335"/>
    <n v="40000"/>
    <n v="20000"/>
    <n v="20000"/>
  </r>
  <r>
    <n v="114"/>
    <x v="4"/>
    <x v="0"/>
    <n v="200"/>
    <s v="General and Administrative"/>
    <x v="35"/>
    <s v="20-45-695"/>
    <s v="Hoses"/>
    <n v="0"/>
    <n v="0"/>
    <n v="0"/>
    <n v="0"/>
    <n v="0"/>
    <n v="0"/>
  </r>
  <r>
    <n v="115"/>
    <x v="4"/>
    <x v="0"/>
    <n v="200"/>
    <s v="General and Administrative"/>
    <x v="35"/>
    <s v="20-45-696"/>
    <s v="Radios &amp; Pagers"/>
    <n v="37833.79"/>
    <n v="19187.28"/>
    <n v="25583.040000000001"/>
    <n v="25000"/>
    <n v="25000"/>
    <n v="15000"/>
  </r>
  <r>
    <n v="116"/>
    <x v="4"/>
    <x v="0"/>
    <n v="720"/>
    <s v="Gain/Loss on disposal"/>
    <x v="42"/>
    <s v="20-45-697"/>
    <s v="Loss on Disposal of Fix Asset"/>
    <n v="0"/>
    <n v="0"/>
    <n v="0"/>
    <n v="0"/>
    <n v="0"/>
    <n v="0"/>
  </r>
  <r>
    <n v="117"/>
    <x v="0"/>
    <x v="1"/>
    <n v="10000"/>
    <s v="Cash and Cash Equivalents"/>
    <x v="0"/>
    <s v="22-10000"/>
    <s v="Cash Combined Fund"/>
    <n v="1385039.55"/>
    <n v="1090096.98"/>
    <m/>
    <n v="0"/>
    <n v="0"/>
    <n v="0"/>
  </r>
  <r>
    <n v="118"/>
    <x v="0"/>
    <x v="1"/>
    <n v="16200"/>
    <s v="Noncurrent restricted cash and investments"/>
    <x v="1"/>
    <s v="22-10500"/>
    <s v="Restricted Cash"/>
    <n v="0"/>
    <n v="0"/>
    <m/>
    <n v="0"/>
    <n v="0"/>
    <n v="0"/>
  </r>
  <r>
    <n v="119"/>
    <x v="0"/>
    <x v="1"/>
    <n v="10000"/>
    <s v="Cash and Cash Equivalents"/>
    <x v="0"/>
    <s v="22-10610"/>
    <s v="9007-2 PTIF Wildland Reserve"/>
    <n v="0"/>
    <n v="325847.95"/>
    <m/>
    <m/>
    <n v="0"/>
    <n v="0"/>
  </r>
  <r>
    <n v="120"/>
    <x v="0"/>
    <x v="1"/>
    <n v="10000"/>
    <s v="Cash and Cash Equivalents"/>
    <x v="0"/>
    <s v="22-10612"/>
    <s v="0348 PTIF Fire Resv DUE FROM"/>
    <n v="317383.14"/>
    <n v="0"/>
    <m/>
    <n v="0"/>
    <n v="0"/>
    <n v="0"/>
  </r>
  <r>
    <n v="121"/>
    <x v="0"/>
    <x v="1"/>
    <n v="11500"/>
    <s v="Accounts Receivable"/>
    <x v="2"/>
    <s v="22-11500"/>
    <s v="Accounts Receivable"/>
    <n v="275525.64"/>
    <n v="1014498.46"/>
    <m/>
    <n v="0"/>
    <n v="0"/>
    <n v="0"/>
  </r>
  <r>
    <n v="122"/>
    <x v="0"/>
    <x v="1"/>
    <n v="16320"/>
    <s v="Equipment"/>
    <x v="5"/>
    <s v="22-16010"/>
    <s v="Fire Equipment"/>
    <n v="778133"/>
    <n v="778133"/>
    <m/>
    <n v="0"/>
    <n v="0"/>
    <n v="0"/>
  </r>
  <r>
    <n v="123"/>
    <x v="0"/>
    <x v="1"/>
    <n v="16900"/>
    <s v="Accumulated Depreciation"/>
    <x v="11"/>
    <s v="22-16900"/>
    <s v="Accumulated Depreciation"/>
    <n v="-196532.31"/>
    <n v="-217888.36"/>
    <m/>
    <n v="0"/>
    <n v="0"/>
    <n v="0"/>
  </r>
  <r>
    <n v="124"/>
    <x v="0"/>
    <x v="1"/>
    <n v="17000"/>
    <s v="Net Pension Asset"/>
    <x v="12"/>
    <s v="22-17000"/>
    <s v="Net Pension Asset"/>
    <n v="0"/>
    <n v="0"/>
    <m/>
    <m/>
    <n v="0"/>
    <n v="0"/>
  </r>
  <r>
    <n v="125"/>
    <x v="0"/>
    <x v="1"/>
    <n v="17010"/>
    <s v="Deferred Outflows - Pensions"/>
    <x v="13"/>
    <s v="22-17010"/>
    <s v="Deferred Outflows-Pensions"/>
    <n v="0"/>
    <n v="0"/>
    <m/>
    <m/>
    <n v="0"/>
    <n v="0"/>
  </r>
  <r>
    <n v="126"/>
    <x v="1"/>
    <x v="1"/>
    <n v="21100"/>
    <s v="Accounts Payable"/>
    <x v="14"/>
    <s v="22-21100"/>
    <s v="Accounts Payable"/>
    <n v="-204.15"/>
    <n v="6581.86"/>
    <m/>
    <n v="0"/>
    <n v="0"/>
    <n v="0"/>
  </r>
  <r>
    <n v="127"/>
    <x v="1"/>
    <x v="1"/>
    <n v="22200"/>
    <s v="Accrued Expenses"/>
    <x v="15"/>
    <s v="22-22200"/>
    <s v="Salaries &amp; Wages Payable"/>
    <n v="-4596"/>
    <n v="-38008.03"/>
    <m/>
    <n v="0"/>
    <n v="0"/>
    <n v="0"/>
  </r>
  <r>
    <n v="128"/>
    <x v="1"/>
    <x v="1"/>
    <n v="22200"/>
    <s v="Accrued Expenses"/>
    <x v="15"/>
    <s v="22-22210"/>
    <s v="Payroll Taxes Payable"/>
    <n v="0"/>
    <n v="-11894.23"/>
    <m/>
    <n v="0"/>
    <n v="0"/>
    <n v="0"/>
  </r>
  <r>
    <n v="129"/>
    <x v="1"/>
    <x v="1"/>
    <n v="22200"/>
    <s v="Accrued Expenses"/>
    <x v="15"/>
    <s v="22-22500"/>
    <s v="Retirement Payable"/>
    <n v="0"/>
    <n v="-2116.2800000000002"/>
    <m/>
    <n v="0"/>
    <n v="0"/>
    <n v="0"/>
  </r>
  <r>
    <n v="130"/>
    <x v="1"/>
    <x v="1"/>
    <n v="28560"/>
    <s v="Net Pension Liability"/>
    <x v="16"/>
    <s v="22-22510"/>
    <s v="Net Pension Liability"/>
    <n v="0"/>
    <n v="0"/>
    <m/>
    <m/>
    <n v="0"/>
    <n v="0"/>
  </r>
  <r>
    <n v="131"/>
    <x v="1"/>
    <x v="1"/>
    <n v="22520"/>
    <s v="Deferred inflows"/>
    <x v="17"/>
    <s v="22-22520"/>
    <s v="Deferred Inflows-Pensions"/>
    <n v="0"/>
    <n v="0"/>
    <m/>
    <m/>
    <n v="0"/>
    <n v="0"/>
  </r>
  <r>
    <n v="132"/>
    <x v="1"/>
    <x v="1"/>
    <n v="22200"/>
    <s v="Accrued Expenses"/>
    <x v="15"/>
    <s v="22-22600"/>
    <s v="Payroll Benefits Payable"/>
    <n v="0"/>
    <n v="88.08"/>
    <m/>
    <m/>
    <n v="0"/>
    <n v="0"/>
  </r>
  <r>
    <n v="133"/>
    <x v="1"/>
    <x v="1"/>
    <n v="22200"/>
    <s v="Accrued Expenses"/>
    <x v="15"/>
    <s v="22-22700"/>
    <s v="Worker's Comp Payable"/>
    <n v="0"/>
    <n v="79.3"/>
    <m/>
    <n v="0"/>
    <n v="0"/>
    <n v="0"/>
  </r>
  <r>
    <n v="134"/>
    <x v="1"/>
    <x v="1"/>
    <n v="22200"/>
    <s v="Accrued Expenses"/>
    <x v="15"/>
    <s v="22-22800"/>
    <s v="Flex/LTD Payable"/>
    <n v="0"/>
    <n v="-130.77000000000001"/>
    <m/>
    <n v="0"/>
    <n v="0"/>
    <n v="0"/>
  </r>
  <r>
    <n v="135"/>
    <x v="1"/>
    <x v="1"/>
    <n v="22200"/>
    <s v="Accrued Expenses"/>
    <x v="15"/>
    <s v="22-25100"/>
    <s v="Accrued Vacation"/>
    <n v="-5476.31"/>
    <n v="-5476.31"/>
    <m/>
    <m/>
    <n v="0"/>
    <n v="0"/>
  </r>
  <r>
    <n v="136"/>
    <x v="1"/>
    <x v="1"/>
    <n v="22250"/>
    <s v="Compensated Absences Noncurrent"/>
    <x v="19"/>
    <s v="22-25125"/>
    <s v="Compensated Absences Noncurrent"/>
    <n v="-7059.79"/>
    <n v="-7059.79"/>
    <m/>
    <m/>
    <n v="0"/>
    <n v="0"/>
  </r>
  <r>
    <n v="137"/>
    <x v="2"/>
    <x v="1"/>
    <n v="29100"/>
    <s v="Unrestricted"/>
    <x v="27"/>
    <s v="22-29100"/>
    <s v="Fund Balance"/>
    <n v="-1990906.48"/>
    <n v="-2542212.77"/>
    <m/>
    <n v="0"/>
    <n v="0"/>
    <n v="0"/>
  </r>
  <r>
    <n v="138"/>
    <x v="3"/>
    <x v="1"/>
    <n v="70"/>
    <s v="Grant revenue"/>
    <x v="29"/>
    <s v="22-30-410"/>
    <s v="Wildland Grants"/>
    <n v="-29200"/>
    <n v="-9909.5499999999993"/>
    <n v="-13212.733333333334"/>
    <n v="-50000"/>
    <n v="-10000"/>
    <n v="-60000"/>
  </r>
  <r>
    <n v="139"/>
    <x v="3"/>
    <x v="1"/>
    <n v="30"/>
    <s v="Charges for services"/>
    <x v="28"/>
    <s v="22-30-415"/>
    <s v="Wildland Income"/>
    <n v="-1581410.92"/>
    <n v="-1938215.3"/>
    <n v="-2584287.0666666669"/>
    <n v="-900000"/>
    <n v="-2200000"/>
    <n v="-1686024"/>
  </r>
  <r>
    <n v="140"/>
    <x v="3"/>
    <x v="1"/>
    <n v="30"/>
    <s v="Charges for services"/>
    <x v="28"/>
    <s v="22-30-420"/>
    <s v="Wildland Mitigation"/>
    <n v="0"/>
    <n v="0"/>
    <n v="0"/>
    <n v="0"/>
    <n v="0"/>
    <n v="0"/>
  </r>
  <r>
    <n v="141"/>
    <x v="3"/>
    <x v="1"/>
    <n v="30"/>
    <s v="Charges for services"/>
    <x v="28"/>
    <s v="22-30-475"/>
    <s v="Other Income"/>
    <n v="0"/>
    <n v="0"/>
    <n v="0"/>
    <n v="0"/>
    <n v="0"/>
    <n v="0"/>
  </r>
  <r>
    <n v="142"/>
    <x v="3"/>
    <x v="1"/>
    <n v="960"/>
    <s v="Interest income"/>
    <x v="30"/>
    <s v="22-30-505"/>
    <s v="Interest on Investments"/>
    <n v="-12491.06"/>
    <n v="-11207.21"/>
    <n v="-14942.946666666667"/>
    <n v="0"/>
    <n v="-14000"/>
    <n v="-12000"/>
  </r>
  <r>
    <n v="144"/>
    <x v="4"/>
    <x v="1"/>
    <n v="100"/>
    <s v="Salaries and Benefits"/>
    <x v="34"/>
    <s v="22-47-600"/>
    <s v="Salaries &amp; Wages"/>
    <n v="597791.25"/>
    <n v="788378.3"/>
    <n v="1051171.0666666667"/>
    <n v="724500"/>
    <n v="850000"/>
    <n v="869914"/>
  </r>
  <r>
    <n v="145"/>
    <x v="4"/>
    <x v="1"/>
    <n v="100"/>
    <s v="Salaries and Benefits"/>
    <x v="34"/>
    <s v="22-47-601"/>
    <s v="Payroll Taxes"/>
    <n v="53353.35"/>
    <n v="60432.78"/>
    <n v="80577.039999999994"/>
    <n v="50604.75"/>
    <n v="67000"/>
    <n v="66548.421000000002"/>
  </r>
  <r>
    <n v="146"/>
    <x v="4"/>
    <x v="1"/>
    <n v="100"/>
    <s v="Salaries and Benefits"/>
    <x v="34"/>
    <s v="22-47-602"/>
    <s v="Retirement"/>
    <n v="39991.410000000003"/>
    <n v="14799.69"/>
    <n v="19732.920000000002"/>
    <n v="0"/>
    <n v="40000"/>
    <n v="169982.8"/>
  </r>
  <r>
    <n v="147"/>
    <x v="4"/>
    <x v="1"/>
    <n v="100"/>
    <s v="Salaries and Benefits"/>
    <x v="34"/>
    <s v="22-47-603"/>
    <s v="Medical, LTD, Life, AD&amp;D"/>
    <n v="57367.55"/>
    <n v="38183.620000000003"/>
    <n v="50911.493333333332"/>
    <m/>
    <n v="60000"/>
    <n v="115322.08"/>
  </r>
  <r>
    <n v="148"/>
    <x v="4"/>
    <x v="1"/>
    <n v="100"/>
    <s v="Salaries and Benefits"/>
    <x v="34"/>
    <s v="22-47-604"/>
    <s v="Worker's Compensation"/>
    <n v="9547.94"/>
    <n v="1228.9000000000001"/>
    <n v="1638.5333333333333"/>
    <n v="13230"/>
    <n v="0"/>
    <n v="17398.28"/>
  </r>
  <r>
    <n v="149"/>
    <x v="4"/>
    <x v="1"/>
    <n v="100"/>
    <s v="Salaries and Benefits"/>
    <x v="34"/>
    <s v="22-47-607"/>
    <s v="Vacation/Sick/Holiday"/>
    <n v="8696.1"/>
    <n v="3451"/>
    <n v="4601.3333333333339"/>
    <m/>
    <n v="0"/>
    <n v="0"/>
  </r>
  <r>
    <n v="150"/>
    <x v="4"/>
    <x v="1"/>
    <n v="100"/>
    <s v="Salaries and Benefits"/>
    <x v="34"/>
    <s v="22-47-608"/>
    <s v="Flex Plan"/>
    <n v="0"/>
    <n v="8.76"/>
    <n v="11.68"/>
    <m/>
    <n v="18"/>
    <n v="0"/>
  </r>
  <r>
    <n v="151"/>
    <x v="4"/>
    <x v="1"/>
    <n v="200"/>
    <s v="General and Administrative"/>
    <x v="35"/>
    <s v="22-47-612"/>
    <s v="Supplies"/>
    <n v="9374.1200000000008"/>
    <n v="33980.65"/>
    <n v="45307.533333333333"/>
    <n v="25000"/>
    <n v="35000"/>
    <n v="35000"/>
  </r>
  <r>
    <n v="152"/>
    <x v="4"/>
    <x v="1"/>
    <n v="200"/>
    <s v="General and Administrative"/>
    <x v="35"/>
    <s v="22-47-625"/>
    <s v="Special Studies"/>
    <n v="12000"/>
    <n v="0"/>
    <n v="0"/>
    <n v="0"/>
    <n v="0"/>
    <n v="0"/>
  </r>
  <r>
    <n v="153"/>
    <x v="4"/>
    <x v="1"/>
    <n v="200"/>
    <s v="General and Administrative"/>
    <x v="35"/>
    <s v="22-47-635"/>
    <s v="Insurance"/>
    <n v="0"/>
    <n v="14047.76"/>
    <n v="18730.346666666668"/>
    <n v="600"/>
    <n v="15000"/>
    <n v="15000"/>
  </r>
  <r>
    <n v="154"/>
    <x v="4"/>
    <x v="1"/>
    <n v="500"/>
    <s v="Repairs and Maintenance"/>
    <x v="36"/>
    <s v="22-47-638"/>
    <s v="Repairs &amp; Maintenance"/>
    <n v="7854.58"/>
    <n v="973.69"/>
    <n v="1298.2533333333333"/>
    <n v="25000"/>
    <n v="5000"/>
    <n v="5000"/>
  </r>
  <r>
    <n v="155"/>
    <x v="4"/>
    <x v="1"/>
    <n v="500"/>
    <s v="Repairs and Maintenance"/>
    <x v="36"/>
    <s v="22-47-654"/>
    <s v="Vehicles Repairs &amp; Maint"/>
    <n v="59364.3"/>
    <n v="31976.79"/>
    <n v="42635.72"/>
    <n v="20000"/>
    <n v="40000"/>
    <n v="35000"/>
  </r>
  <r>
    <n v="156"/>
    <x v="4"/>
    <x v="1"/>
    <n v="500"/>
    <s v="Repairs and Maintenance"/>
    <x v="36"/>
    <s v="22-47-658"/>
    <s v="Vehicle Fuel"/>
    <n v="21786.48"/>
    <n v="31774.42"/>
    <n v="42365.893333333333"/>
    <n v="12000"/>
    <n v="12000"/>
    <n v="12000"/>
  </r>
  <r>
    <n v="157"/>
    <x v="4"/>
    <x v="1"/>
    <n v="200"/>
    <s v="General and Administrative"/>
    <x v="35"/>
    <s v="22-47-677"/>
    <s v="Travel and Conferences"/>
    <n v="131125.29999999999"/>
    <n v="170952.8"/>
    <n v="227937.06666666665"/>
    <n v="35000"/>
    <n v="160000"/>
    <n v="160000"/>
  </r>
  <r>
    <n v="158"/>
    <x v="4"/>
    <x v="1"/>
    <n v="200"/>
    <s v="General and Administrative"/>
    <x v="35"/>
    <s v="22-47-681"/>
    <s v="Training"/>
    <n v="75"/>
    <n v="1572.29"/>
    <n v="2096.3866666666668"/>
    <n v="4000"/>
    <n v="2000"/>
    <n v="4000"/>
  </r>
  <r>
    <n v="159"/>
    <x v="4"/>
    <x v="1"/>
    <n v="200"/>
    <s v="General and Administrative"/>
    <x v="35"/>
    <s v="22-47-686"/>
    <s v="Mitigation Expense"/>
    <n v="249.96"/>
    <n v="0"/>
    <n v="0"/>
    <n v="0"/>
    <n v="0"/>
    <n v="0"/>
  </r>
  <r>
    <n v="160"/>
    <x v="4"/>
    <x v="1"/>
    <n v="700"/>
    <s v="Depreciation and Amortization"/>
    <x v="40"/>
    <s v="22-47-688"/>
    <s v="Depreciation"/>
    <n v="51254.52"/>
    <n v="21356.05"/>
    <n v="28474.73333333333"/>
    <n v="0"/>
    <n v="0"/>
    <n v="0"/>
  </r>
  <r>
    <n v="161"/>
    <x v="4"/>
    <x v="1"/>
    <n v="710"/>
    <s v="capital Outlay"/>
    <x v="41"/>
    <s v="22-47-691"/>
    <s v="capital Equipment"/>
    <n v="0"/>
    <n v="341070.28"/>
    <n v="454760.37333333335"/>
    <n v="515000"/>
    <n v="515000"/>
    <n v="0"/>
  </r>
  <r>
    <n v="162"/>
    <x v="4"/>
    <x v="1"/>
    <n v="200"/>
    <s v="General and Administrative"/>
    <x v="35"/>
    <s v="22-47-694"/>
    <s v="Clothing &amp; Protective Gear"/>
    <n v="11963.83"/>
    <n v="14605.19"/>
    <n v="19473.58666666667"/>
    <n v="25000"/>
    <n v="0"/>
    <n v="0"/>
  </r>
  <r>
    <n v="163"/>
    <x v="4"/>
    <x v="1"/>
    <n v="720"/>
    <s v="Gain/Loss on disposal"/>
    <x v="42"/>
    <s v="22-47-697"/>
    <s v="Loss on Disposal of Fix Asset"/>
    <n v="0"/>
    <n v="0"/>
    <n v="0"/>
    <n v="0"/>
    <n v="0"/>
    <n v="0"/>
  </r>
  <r>
    <n v="164"/>
    <x v="0"/>
    <x v="2"/>
    <n v="10000"/>
    <s v="Cash and Cash Equivalents"/>
    <x v="0"/>
    <s v="51-10000"/>
    <s v="Cash Combined Fund"/>
    <n v="1671392.5"/>
    <n v="1598634.14"/>
    <m/>
    <n v="0"/>
    <n v="0"/>
    <n v="0"/>
  </r>
  <r>
    <n v="165"/>
    <x v="0"/>
    <x v="2"/>
    <n v="16200"/>
    <s v="Noncurrent restricted cash and investments"/>
    <x v="1"/>
    <s v="51-10500"/>
    <s v="Restricted Cash"/>
    <n v="0"/>
    <n v="0"/>
    <m/>
    <n v="0"/>
    <n v="0"/>
    <n v="0"/>
  </r>
  <r>
    <n v="166"/>
    <x v="0"/>
    <x v="2"/>
    <n v="10000"/>
    <s v="Cash and Cash Equivalents"/>
    <x v="0"/>
    <s v="51-10620"/>
    <s v="1470 PTIF Water Reserve"/>
    <n v="290201.3"/>
    <n v="304069.86"/>
    <m/>
    <n v="0"/>
    <n v="0"/>
    <n v="0"/>
  </r>
  <r>
    <n v="167"/>
    <x v="0"/>
    <x v="2"/>
    <n v="16200"/>
    <s v="Noncurrent restricted cash and investments"/>
    <x v="1"/>
    <s v="51-10625"/>
    <s v="Zion's Bond Acct 6119963"/>
    <n v="2044.33"/>
    <n v="149986.16"/>
    <m/>
    <n v="0"/>
    <n v="0"/>
    <n v="0"/>
  </r>
  <r>
    <n v="168"/>
    <x v="0"/>
    <x v="2"/>
    <n v="16200"/>
    <s v="Noncurrent restricted cash and investments"/>
    <x v="1"/>
    <s v="51-10630"/>
    <s v="Bond Reserve Account 611963A"/>
    <n v="87967.42"/>
    <n v="87967.42"/>
    <m/>
    <n v="0"/>
    <n v="0"/>
    <n v="0"/>
  </r>
  <r>
    <n v="169"/>
    <x v="0"/>
    <x v="2"/>
    <n v="16200"/>
    <s v="Noncurrent restricted cash and investments"/>
    <x v="1"/>
    <s v="51-10640"/>
    <s v="Bond Construction Acct 61199"/>
    <n v="0"/>
    <n v="0"/>
    <m/>
    <n v="0"/>
    <n v="0"/>
    <n v="0"/>
  </r>
  <r>
    <n v="170"/>
    <x v="0"/>
    <x v="2"/>
    <n v="16200"/>
    <s v="Noncurrent restricted cash and investments"/>
    <x v="1"/>
    <s v="51-10645"/>
    <s v="9007 PTIF 2022 Well"/>
    <n v="486764.65"/>
    <n v="0"/>
    <m/>
    <n v="0"/>
    <n v="0"/>
    <n v="0"/>
  </r>
  <r>
    <n v="171"/>
    <x v="0"/>
    <x v="2"/>
    <n v="16200"/>
    <s v="Noncurrent restricted cash and investments"/>
    <x v="1"/>
    <s v="51-10646"/>
    <s v="8554 PTIF Water Infilt Syst 24"/>
    <n v="412180.6"/>
    <n v="43155.29"/>
    <m/>
    <n v="0"/>
    <n v="0"/>
    <n v="0"/>
  </r>
  <r>
    <n v="172"/>
    <x v="0"/>
    <x v="2"/>
    <n v="11500"/>
    <s v="Accounts Receivable"/>
    <x v="2"/>
    <s v="51-11500"/>
    <s v="Accounts Receivable"/>
    <n v="119986.41"/>
    <n v="139720.32999999999"/>
    <m/>
    <n v="0"/>
    <n v="0"/>
    <n v="0"/>
  </r>
  <r>
    <n v="173"/>
    <x v="0"/>
    <x v="2"/>
    <n v="11510"/>
    <s v="Property Tax Receivable"/>
    <x v="3"/>
    <s v="51-11520"/>
    <s v="Property Tax Receivable"/>
    <n v="37001.800000000003"/>
    <n v="13195.08"/>
    <m/>
    <n v="0"/>
    <n v="0"/>
    <n v="0"/>
  </r>
  <r>
    <n v="175"/>
    <x v="0"/>
    <x v="2"/>
    <n v="11500"/>
    <s v="Accounts Receivable"/>
    <x v="2"/>
    <s v="51-11570"/>
    <s v="Allow for Doubtful Accts"/>
    <n v="-18000"/>
    <n v="-18000"/>
    <m/>
    <n v="0"/>
    <n v="0"/>
    <n v="0"/>
  </r>
  <r>
    <n v="176"/>
    <x v="0"/>
    <x v="2"/>
    <n v="11570"/>
    <s v="Allowance for Uncollectible Accounts Receivable"/>
    <x v="43"/>
    <s v="51-11575"/>
    <s v="Prior Year Write Offs"/>
    <n v="0"/>
    <n v="0"/>
    <m/>
    <n v="0"/>
    <n v="0"/>
    <n v="0"/>
  </r>
  <r>
    <n v="177"/>
    <x v="0"/>
    <x v="2"/>
    <n v="14300"/>
    <s v="Prepaid Expenses"/>
    <x v="4"/>
    <s v="51-14300"/>
    <s v="Prepaid Expenses"/>
    <n v="0"/>
    <n v="0"/>
    <m/>
    <n v="0"/>
    <n v="0"/>
    <n v="0"/>
  </r>
  <r>
    <n v="178"/>
    <x v="0"/>
    <x v="2"/>
    <n v="16320"/>
    <s v="Equipment"/>
    <x v="5"/>
    <s v="51-16100"/>
    <s v="PW Fixed Assets"/>
    <n v="170814.34"/>
    <n v="170814.34"/>
    <m/>
    <n v="0"/>
    <n v="0"/>
    <n v="0"/>
  </r>
  <r>
    <n v="179"/>
    <x v="0"/>
    <x v="2"/>
    <n v="16300"/>
    <s v="Water Shares"/>
    <x v="44"/>
    <s v="51-16300"/>
    <s v="Water Rights"/>
    <n v="437671"/>
    <n v="437671"/>
    <m/>
    <n v="0"/>
    <n v="0"/>
    <n v="0"/>
  </r>
  <r>
    <n v="180"/>
    <x v="0"/>
    <x v="2"/>
    <n v="16310"/>
    <s v="Water System"/>
    <x v="45"/>
    <s v="51-16310"/>
    <s v="Water System"/>
    <n v="1734755.88"/>
    <n v="1734755.88"/>
    <m/>
    <n v="0"/>
    <n v="0"/>
    <n v="0"/>
  </r>
  <r>
    <n v="181"/>
    <x v="0"/>
    <x v="2"/>
    <n v="16310"/>
    <s v="Water System"/>
    <x v="45"/>
    <s v="51-16320"/>
    <s v="Water Tanks &amp; Well"/>
    <n v="3039136.71"/>
    <n v="3039136.71"/>
    <m/>
    <n v="0"/>
    <n v="0"/>
    <n v="0"/>
  </r>
  <r>
    <n v="182"/>
    <x v="0"/>
    <x v="2"/>
    <n v="16320"/>
    <s v="Equipment"/>
    <x v="5"/>
    <s v="51-16330"/>
    <s v="Water Telemetry System"/>
    <n v="62293"/>
    <n v="62293"/>
    <m/>
    <n v="0"/>
    <n v="0"/>
    <n v="0"/>
  </r>
  <r>
    <n v="183"/>
    <x v="0"/>
    <x v="2"/>
    <n v="16500"/>
    <s v="Right to use assets"/>
    <x v="8"/>
    <s v="51-16500"/>
    <s v="RUA - Equipment"/>
    <n v="0"/>
    <n v="0"/>
    <m/>
    <n v="0"/>
    <n v="0"/>
    <n v="0"/>
  </r>
  <r>
    <n v="184"/>
    <x v="0"/>
    <x v="2"/>
    <n v="16600"/>
    <s v="Construction In Progress"/>
    <x v="9"/>
    <s v="51-16600"/>
    <s v="Construction In Progress"/>
    <n v="3126593.35"/>
    <n v="3126593.35"/>
    <m/>
    <n v="0"/>
    <n v="0"/>
    <n v="0"/>
  </r>
  <r>
    <n v="185"/>
    <x v="0"/>
    <x v="2"/>
    <n v="16900"/>
    <s v="Accumulated Depreciation"/>
    <x v="11"/>
    <s v="51-16900"/>
    <s v="Accumulated Depreciation"/>
    <n v="-1776505.8"/>
    <n v="-1832663.5"/>
    <m/>
    <n v="0"/>
    <n v="0"/>
    <n v="0"/>
  </r>
  <r>
    <n v="186"/>
    <x v="0"/>
    <x v="2"/>
    <n v="17000"/>
    <s v="Net Pension Asset"/>
    <x v="12"/>
    <s v="51-17000"/>
    <s v="Net Pension Asset"/>
    <n v="0"/>
    <n v="0"/>
    <m/>
    <m/>
    <n v="0"/>
    <n v="0"/>
  </r>
  <r>
    <n v="187"/>
    <x v="0"/>
    <x v="2"/>
    <n v="17010"/>
    <s v="Deferred Outflows - Pensions"/>
    <x v="13"/>
    <s v="51-17010"/>
    <s v="Deferred Outflows-Pensions"/>
    <n v="35133"/>
    <n v="35133"/>
    <m/>
    <m/>
    <n v="0"/>
    <n v="0"/>
  </r>
  <r>
    <n v="188"/>
    <x v="1"/>
    <x v="2"/>
    <n v="21100"/>
    <s v="Accounts Payable"/>
    <x v="14"/>
    <s v="51-21100"/>
    <s v="Accounts Payable"/>
    <n v="-489463.06"/>
    <n v="-64848.51"/>
    <m/>
    <n v="0"/>
    <n v="0"/>
    <n v="0"/>
  </r>
  <r>
    <n v="189"/>
    <x v="1"/>
    <x v="2"/>
    <n v="21100"/>
    <s v="Accounts Payable"/>
    <x v="14"/>
    <s v="51-21150"/>
    <s v="Retention Payable"/>
    <n v="0"/>
    <n v="0"/>
    <m/>
    <n v="0"/>
    <n v="0"/>
    <n v="0"/>
  </r>
  <r>
    <n v="190"/>
    <x v="1"/>
    <x v="2"/>
    <n v="21100"/>
    <s v="Accounts Payable"/>
    <x v="14"/>
    <s v="51-21155"/>
    <s v="Retention Interest Payable"/>
    <n v="0"/>
    <n v="-926.35"/>
    <m/>
    <m/>
    <n v="0"/>
    <n v="0"/>
  </r>
  <r>
    <n v="191"/>
    <x v="1"/>
    <x v="2"/>
    <n v="22200"/>
    <s v="Accrued Expenses"/>
    <x v="15"/>
    <s v="51-22200"/>
    <s v="Salaries &amp; Wages Payable"/>
    <n v="-7768.23"/>
    <n v="-13842.13"/>
    <m/>
    <n v="0"/>
    <n v="0"/>
    <n v="0"/>
  </r>
  <r>
    <n v="192"/>
    <x v="1"/>
    <x v="2"/>
    <n v="22200"/>
    <s v="Accrued Expenses"/>
    <x v="15"/>
    <s v="51-22210"/>
    <s v="Payroll Taxes Payable"/>
    <n v="0"/>
    <n v="-2276.41"/>
    <m/>
    <n v="0"/>
    <n v="0"/>
    <n v="0"/>
  </r>
  <r>
    <n v="193"/>
    <x v="1"/>
    <x v="2"/>
    <n v="22200"/>
    <s v="Accrued Expenses"/>
    <x v="15"/>
    <s v="51-22500"/>
    <s v="Retirement Payable"/>
    <n v="0"/>
    <n v="-1937.23"/>
    <m/>
    <n v="0"/>
    <n v="0"/>
    <n v="0"/>
  </r>
  <r>
    <n v="194"/>
    <x v="1"/>
    <x v="2"/>
    <n v="28560"/>
    <s v="Net Pension Liability"/>
    <x v="16"/>
    <s v="51-22510"/>
    <s v="Net Pension Liability"/>
    <n v="-20096"/>
    <n v="-20096"/>
    <m/>
    <m/>
    <n v="0"/>
    <n v="0"/>
  </r>
  <r>
    <n v="195"/>
    <x v="1"/>
    <x v="2"/>
    <n v="22520"/>
    <s v="Deferred inflows"/>
    <x v="17"/>
    <s v="51-22520"/>
    <s v="Deferred Inflows-Pensions"/>
    <n v="-383"/>
    <n v="-383"/>
    <m/>
    <m/>
    <n v="0"/>
    <n v="0"/>
  </r>
  <r>
    <n v="196"/>
    <x v="1"/>
    <x v="2"/>
    <n v="22200"/>
    <s v="Accrued Expenses"/>
    <x v="15"/>
    <s v="51-22600"/>
    <s v="Payroll Benefits Payable"/>
    <n v="0"/>
    <n v="12.16"/>
    <m/>
    <n v="0"/>
    <n v="0"/>
    <n v="0"/>
  </r>
  <r>
    <n v="197"/>
    <x v="1"/>
    <x v="2"/>
    <n v="22200"/>
    <s v="Accrued Expenses"/>
    <x v="15"/>
    <s v="51-22700"/>
    <s v="Worker's Comp Payable"/>
    <n v="0"/>
    <n v="0"/>
    <m/>
    <n v="0"/>
    <n v="0"/>
    <n v="0"/>
  </r>
  <r>
    <n v="198"/>
    <x v="1"/>
    <x v="2"/>
    <n v="22200"/>
    <s v="Accrued Expenses"/>
    <x v="15"/>
    <s v="51-22800"/>
    <s v="Flex/LTD Payable"/>
    <n v="0"/>
    <n v="-22.85"/>
    <m/>
    <n v="0"/>
    <n v="0"/>
    <n v="0"/>
  </r>
  <r>
    <n v="199"/>
    <x v="1"/>
    <x v="2"/>
    <n v="23000"/>
    <s v="Unearned Revenue"/>
    <x v="18"/>
    <s v="51-23000"/>
    <s v="Unearned Revenue"/>
    <n v="-488147.48"/>
    <n v="-488147.48"/>
    <m/>
    <n v="0"/>
    <n v="0"/>
    <n v="0"/>
  </r>
  <r>
    <n v="200"/>
    <x v="1"/>
    <x v="2"/>
    <n v="22200"/>
    <s v="Accrued Expenses"/>
    <x v="15"/>
    <s v="51-25100"/>
    <s v="Accrued Vacation"/>
    <n v="-11853.26"/>
    <n v="-11853.26"/>
    <m/>
    <n v="0"/>
    <n v="0"/>
    <n v="0"/>
  </r>
  <r>
    <n v="201"/>
    <x v="1"/>
    <x v="2"/>
    <n v="22250"/>
    <s v="Compensated Absences Noncurrent"/>
    <x v="19"/>
    <s v="51-25125"/>
    <s v="Compensated Absences Noncurrent"/>
    <n v="-13891"/>
    <n v="-13891"/>
    <m/>
    <n v="0"/>
    <n v="0"/>
    <n v="0"/>
  </r>
  <r>
    <n v="202"/>
    <x v="1"/>
    <x v="2"/>
    <n v="28000"/>
    <s v="Accrued Interest Payable"/>
    <x v="20"/>
    <s v="51-28000"/>
    <s v="Accrued Interest Payable"/>
    <n v="-2302.27"/>
    <n v="-2302.27"/>
    <m/>
    <n v="0"/>
    <n v="0"/>
    <n v="0"/>
  </r>
  <r>
    <n v="203"/>
    <x v="1"/>
    <x v="2"/>
    <n v="28510"/>
    <s v="Notes Payable - Noncurrent"/>
    <x v="21"/>
    <s v="51-28500"/>
    <s v="GMAC Credit - Water System"/>
    <n v="0"/>
    <n v="0"/>
    <m/>
    <n v="0"/>
    <n v="0"/>
    <n v="0"/>
  </r>
  <r>
    <n v="205"/>
    <x v="1"/>
    <x v="2"/>
    <n v="28521"/>
    <s v="capital Leases Payable - Current"/>
    <x v="24"/>
    <s v="51-28521"/>
    <s v="Leases Current Portion"/>
    <n v="0"/>
    <n v="0"/>
    <m/>
    <n v="0"/>
    <n v="0"/>
    <n v="0"/>
  </r>
  <r>
    <n v="206"/>
    <x v="1"/>
    <x v="2"/>
    <n v="28540"/>
    <s v="Bonds Payable - Noncurrent"/>
    <x v="25"/>
    <s v="51-28540"/>
    <s v="Bond for Stewart Tank and Well"/>
    <n v="-1558000"/>
    <n v="-1558000"/>
    <m/>
    <n v="0"/>
    <n v="0"/>
    <n v="0"/>
  </r>
  <r>
    <n v="207"/>
    <x v="1"/>
    <x v="2"/>
    <n v="28541"/>
    <s v="Bonds Payable - Current"/>
    <x v="26"/>
    <s v="51-28541"/>
    <s v="Bond Current Portion"/>
    <n v="-138000"/>
    <n v="-138000"/>
    <m/>
    <n v="0"/>
    <n v="0"/>
    <n v="0"/>
  </r>
  <r>
    <n v="208"/>
    <x v="1"/>
    <x v="2"/>
    <n v="28521"/>
    <s v="capital Leases Payable - Current"/>
    <x v="24"/>
    <s v="51-28550"/>
    <s v="Hinklease Truck Lease"/>
    <n v="0"/>
    <n v="0"/>
    <m/>
    <n v="0"/>
    <n v="0"/>
    <n v="0"/>
  </r>
  <r>
    <n v="209"/>
    <x v="1"/>
    <x v="2"/>
    <n v="28520"/>
    <s v="capital Leases Payable  - Noncurrent"/>
    <x v="23"/>
    <s v="51-28570"/>
    <s v="Leases"/>
    <n v="0"/>
    <n v="0"/>
    <m/>
    <n v="0"/>
    <n v="0"/>
    <n v="0"/>
  </r>
  <r>
    <n v="210"/>
    <x v="2"/>
    <x v="2"/>
    <n v="29100"/>
    <s v="Unrestricted"/>
    <x v="27"/>
    <s v="51-29100"/>
    <s v="Fund Balance"/>
    <n v="-4627990.25"/>
    <n v="-7189526.1900000004"/>
    <m/>
    <n v="0"/>
    <n v="0"/>
    <n v="0"/>
  </r>
  <r>
    <n v="211"/>
    <x v="3"/>
    <x v="2"/>
    <n v="70"/>
    <s v="Grant revenue"/>
    <x v="29"/>
    <s v="51-30-410"/>
    <s v="Well Grant"/>
    <n v="-2306306.33"/>
    <n v="-25498.75"/>
    <n v="-33998.333333333328"/>
    <n v="-3700000"/>
    <n v="0"/>
    <n v="-1400000"/>
  </r>
  <r>
    <n v="212"/>
    <x v="3"/>
    <x v="2"/>
    <n v="30"/>
    <s v="Charges for services"/>
    <x v="28"/>
    <s v="51-30-430"/>
    <s v="Water Income"/>
    <n v="-434062.49"/>
    <n v="-294672.45"/>
    <n v="-392896.60000000003"/>
    <n v="-390000"/>
    <n v="-390000"/>
    <n v="-390000"/>
  </r>
  <r>
    <n v="213"/>
    <x v="3"/>
    <x v="2"/>
    <n v="30"/>
    <s v="Charges for services"/>
    <x v="28"/>
    <s v="51-30-435"/>
    <s v="Water Line Repairs"/>
    <n v="0"/>
    <n v="0"/>
    <n v="0"/>
    <n v="-30"/>
    <n v="-30"/>
    <n v="-30"/>
  </r>
  <r>
    <n v="214"/>
    <x v="3"/>
    <x v="2"/>
    <n v="30"/>
    <s v="Charges for services"/>
    <x v="28"/>
    <s v="51-30-440"/>
    <s v="Water Stand-by Fee"/>
    <n v="-8425"/>
    <n v="-6550.01"/>
    <n v="-8733.3466666666664"/>
    <n v="-8580"/>
    <n v="-8580"/>
    <n v="-8580"/>
  </r>
  <r>
    <n v="215"/>
    <x v="3"/>
    <x v="2"/>
    <n v="30"/>
    <s v="Charges for services"/>
    <x v="28"/>
    <s v="51-30-445"/>
    <s v="Excess Water Usage"/>
    <n v="-438904.84"/>
    <n v="-302907.17"/>
    <n v="-403876.22666666668"/>
    <n v="-350000"/>
    <n v="-350000"/>
    <n v="-350000"/>
  </r>
  <r>
    <n v="216"/>
    <x v="3"/>
    <x v="2"/>
    <n v="30"/>
    <s v="Charges for services"/>
    <x v="28"/>
    <s v="51-30-446"/>
    <s v="Access Fee"/>
    <n v="0"/>
    <n v="0"/>
    <n v="0"/>
    <n v="0"/>
    <n v="0"/>
    <n v="0"/>
  </r>
  <r>
    <n v="217"/>
    <x v="3"/>
    <x v="2"/>
    <n v="30"/>
    <s v="Charges for services"/>
    <x v="28"/>
    <s v="51-30-450"/>
    <s v="Meter Fees"/>
    <n v="-13520"/>
    <n v="0"/>
    <n v="0"/>
    <n v="0"/>
    <n v="0"/>
    <n v="0"/>
  </r>
  <r>
    <n v="218"/>
    <x v="3"/>
    <x v="2"/>
    <n v="30"/>
    <s v="Charges for services"/>
    <x v="28"/>
    <s v="51-30-455"/>
    <s v="Connection Fee"/>
    <n v="0"/>
    <n v="0"/>
    <n v="0"/>
    <n v="0"/>
    <n v="0"/>
    <n v="0"/>
  </r>
  <r>
    <n v="219"/>
    <x v="3"/>
    <x v="2"/>
    <n v="960"/>
    <s v="Interest income"/>
    <x v="30"/>
    <s v="51-30-470"/>
    <s v="Interest &amp; Finance Charges"/>
    <n v="-4166.22"/>
    <n v="0"/>
    <n v="0"/>
    <n v="0"/>
    <n v="0"/>
    <n v="0"/>
  </r>
  <r>
    <n v="220"/>
    <x v="3"/>
    <x v="2"/>
    <n v="30"/>
    <s v="Charges for services"/>
    <x v="28"/>
    <s v="51-30-475"/>
    <s v="Other Income"/>
    <n v="-9106.6"/>
    <n v="-53047.48"/>
    <n v="-70729.973333333328"/>
    <n v="-4110"/>
    <n v="-4110"/>
    <n v="-4110"/>
  </r>
  <r>
    <n v="221"/>
    <x v="3"/>
    <x v="2"/>
    <n v="950"/>
    <s v="Property Taxes"/>
    <x v="32"/>
    <s v="51-30-500"/>
    <s v="Property Tax Income"/>
    <n v="-102677.18"/>
    <n v="-6902.08"/>
    <n v="-9202.7733333333326"/>
    <n v="-80000"/>
    <n v="-80000"/>
    <n v="-80000"/>
  </r>
  <r>
    <n v="222"/>
    <x v="3"/>
    <x v="2"/>
    <n v="960"/>
    <s v="Interest income"/>
    <x v="30"/>
    <s v="51-30-505"/>
    <s v="Interest on Investments"/>
    <n v="-123891.41"/>
    <n v="-26221.13"/>
    <n v="-34961.506666666668"/>
    <n v="-100000"/>
    <n v="-100000"/>
    <n v="-100000"/>
  </r>
  <r>
    <n v="224"/>
    <x v="3"/>
    <x v="2"/>
    <n v="960"/>
    <s v="Interest income"/>
    <x v="30"/>
    <s v="51-30-970"/>
    <s v="Bond Interest Income"/>
    <n v="0"/>
    <n v="0"/>
    <n v="0"/>
    <n v="0"/>
    <n v="0"/>
    <n v="0"/>
  </r>
  <r>
    <n v="225"/>
    <x v="4"/>
    <x v="2"/>
    <n v="100"/>
    <s v="Salaries and Benefits"/>
    <x v="34"/>
    <s v="51-50-600"/>
    <s v="Salaries and Wages"/>
    <n v="195962.23"/>
    <n v="151760.79999999999"/>
    <n v="202347.73333333334"/>
    <n v="259590.18340500002"/>
    <n v="258650.34899999999"/>
    <n v="210153.56189999994"/>
  </r>
  <r>
    <n v="226"/>
    <x v="4"/>
    <x v="2"/>
    <n v="100"/>
    <s v="Salaries and Benefits"/>
    <x v="34"/>
    <s v="51-50-601"/>
    <s v="Payroll Taxes"/>
    <n v="15300.18"/>
    <n v="12536.9"/>
    <n v="16715.866666666665"/>
    <n v="19858.649030482498"/>
    <n v="19786.7516985"/>
    <n v="16076.747485349995"/>
  </r>
  <r>
    <n v="227"/>
    <x v="4"/>
    <x v="2"/>
    <n v="100"/>
    <s v="Salaries and Benefits"/>
    <x v="34"/>
    <s v="51-50-602"/>
    <s v="Retirement"/>
    <n v="35514.379999999997"/>
    <n v="28084.22"/>
    <n v="37445.626666666671"/>
    <n v="39004.434000000008"/>
    <n v="38885.520000000004"/>
    <n v="30695.847519999999"/>
  </r>
  <r>
    <n v="228"/>
    <x v="4"/>
    <x v="2"/>
    <n v="100"/>
    <s v="Salaries and Benefits"/>
    <x v="34"/>
    <s v="51-50-603"/>
    <s v="Medical, LTD, Life, AD&amp;D"/>
    <n v="42430.27"/>
    <n v="30727.05"/>
    <n v="40969.4"/>
    <n v="53007.742125000004"/>
    <n v="53023.255799999999"/>
    <n v="114383.75237599999"/>
  </r>
  <r>
    <n v="229"/>
    <x v="4"/>
    <x v="2"/>
    <n v="100"/>
    <s v="Salaries and Benefits"/>
    <x v="34"/>
    <s v="51-50-604"/>
    <s v="Worker's Compensation"/>
    <n v="1322.94"/>
    <n v="950.85"/>
    <n v="1267.8000000000002"/>
    <n v="5007.4078656000002"/>
    <n v="4985.4406399999998"/>
    <n v="4006.0952379999999"/>
  </r>
  <r>
    <n v="230"/>
    <x v="4"/>
    <x v="2"/>
    <n v="100"/>
    <s v="Salaries and Benefits"/>
    <x v="34"/>
    <s v="51-50-607"/>
    <s v="Vacation/Sick/Holiday"/>
    <n v="10894.21"/>
    <n v="12460.06"/>
    <n v="16613.41333333333"/>
    <n v="0"/>
    <n v="0"/>
    <n v="0"/>
  </r>
  <r>
    <n v="231"/>
    <x v="4"/>
    <x v="2"/>
    <n v="100"/>
    <s v="Salaries and Benefits"/>
    <x v="34"/>
    <s v="51-50-608"/>
    <s v="Flex Plan"/>
    <n v="5.85"/>
    <n v="1.33"/>
    <n v="1.7733333333333334"/>
    <n v="115.20000000000002"/>
    <n v="115.20000000000002"/>
    <n v="172.80000000000004"/>
  </r>
  <r>
    <n v="232"/>
    <x v="4"/>
    <x v="2"/>
    <n v="100"/>
    <s v="Salaries and Benefits"/>
    <x v="34"/>
    <s v="51-50-609"/>
    <s v="Employee/Vol Incentives"/>
    <n v="1149.5"/>
    <n v="54.18"/>
    <n v="72.239999999999995"/>
    <n v="600"/>
    <n v="600"/>
    <n v="600"/>
  </r>
  <r>
    <n v="233"/>
    <x v="4"/>
    <x v="2"/>
    <n v="200"/>
    <s v="General and Administrative"/>
    <x v="35"/>
    <s v="51-50-612"/>
    <s v="Supplies"/>
    <n v="6464.27"/>
    <n v="7458.45"/>
    <n v="9944.6"/>
    <n v="7000"/>
    <n v="9000"/>
    <n v="9000"/>
  </r>
  <r>
    <n v="234"/>
    <x v="4"/>
    <x v="2"/>
    <n v="200"/>
    <s v="General and Administrative"/>
    <x v="35"/>
    <s v="51-50-615"/>
    <s v="Dues and Subscriptions"/>
    <n v="4667.6400000000003"/>
    <n v="8796.9"/>
    <n v="11729.199999999999"/>
    <n v="6500"/>
    <n v="12000"/>
    <n v="12000"/>
  </r>
  <r>
    <n v="235"/>
    <x v="4"/>
    <x v="2"/>
    <n v="200"/>
    <s v="General and Administrative"/>
    <x v="35"/>
    <s v="51-50-618"/>
    <s v="Accounting Services"/>
    <n v="6815.08"/>
    <n v="7418.57"/>
    <n v="9891.4266666666663"/>
    <n v="10000"/>
    <n v="10000"/>
    <n v="10000"/>
  </r>
  <r>
    <n v="236"/>
    <x v="4"/>
    <x v="2"/>
    <n v="200"/>
    <s v="General and Administrative"/>
    <x v="35"/>
    <s v="51-50-619"/>
    <s v="IT Services"/>
    <n v="4064.39"/>
    <n v="2475.38"/>
    <n v="3300.5066666666667"/>
    <n v="8000"/>
    <n v="8000"/>
    <n v="8000"/>
  </r>
  <r>
    <n v="237"/>
    <x v="4"/>
    <x v="2"/>
    <n v="200"/>
    <s v="General and Administrative"/>
    <x v="35"/>
    <s v="51-50-620"/>
    <s v="Software"/>
    <n v="6539.77"/>
    <n v="2533.35"/>
    <n v="3377.8"/>
    <n v="6000"/>
    <n v="6000"/>
    <n v="6000"/>
  </r>
  <r>
    <n v="238"/>
    <x v="4"/>
    <x v="2"/>
    <n v="200"/>
    <s v="General and Administrative"/>
    <x v="35"/>
    <s v="51-50-622"/>
    <s v="Legal Services"/>
    <n v="23060.75"/>
    <n v="11654.73"/>
    <n v="15539.64"/>
    <n v="25000"/>
    <n v="25000"/>
    <n v="25000"/>
  </r>
  <r>
    <n v="239"/>
    <x v="4"/>
    <x v="2"/>
    <n v="200"/>
    <s v="General and Administrative"/>
    <x v="35"/>
    <s v="51-50-623"/>
    <s v="Advertising"/>
    <n v="347.44"/>
    <n v="30.2"/>
    <n v="40.266666666666666"/>
    <n v="300"/>
    <n v="300"/>
    <n v="300"/>
  </r>
  <r>
    <n v="240"/>
    <x v="4"/>
    <x v="2"/>
    <n v="200"/>
    <s v="General and Administrative"/>
    <x v="35"/>
    <s v="51-50-625"/>
    <s v="Special Studies"/>
    <n v="4215.1000000000004"/>
    <n v="630.36"/>
    <n v="840.48"/>
    <m/>
    <n v="0"/>
    <n v="0"/>
  </r>
  <r>
    <n v="241"/>
    <x v="4"/>
    <x v="2"/>
    <n v="200"/>
    <s v="General and Administrative"/>
    <x v="35"/>
    <s v="51-50-629"/>
    <s v="Utilities-Communications"/>
    <n v="5683.39"/>
    <n v="4518.87"/>
    <n v="6025.16"/>
    <n v="6500"/>
    <n v="7000"/>
    <n v="14000"/>
  </r>
  <r>
    <n v="242"/>
    <x v="4"/>
    <x v="2"/>
    <n v="200"/>
    <s v="General and Administrative"/>
    <x v="35"/>
    <s v="51-50-635"/>
    <s v="Insurance"/>
    <n v="14559.77"/>
    <n v="17254.36"/>
    <n v="23005.813333333335"/>
    <n v="18000"/>
    <n v="18000"/>
    <n v="18000"/>
  </r>
  <r>
    <n v="243"/>
    <x v="4"/>
    <x v="2"/>
    <n v="200"/>
    <s v="General and Administrative"/>
    <x v="35"/>
    <s v="51-50-637"/>
    <s v="Alarm"/>
    <n v="0"/>
    <n v="3168.9"/>
    <n v="4225.2000000000007"/>
    <m/>
    <n v="0"/>
    <n v="0"/>
  </r>
  <r>
    <n v="244"/>
    <x v="4"/>
    <x v="2"/>
    <n v="500"/>
    <s v="Repairs and Maintenance"/>
    <x v="36"/>
    <s v="51-50-654"/>
    <s v="Vehicle Repairs and Maint"/>
    <n v="1043.73"/>
    <n v="1163.1199999999999"/>
    <n v="1550.8266666666666"/>
    <n v="1850"/>
    <n v="1850"/>
    <n v="2500"/>
  </r>
  <r>
    <n v="245"/>
    <x v="4"/>
    <x v="2"/>
    <n v="500"/>
    <s v="Repairs and Maintenance"/>
    <x v="36"/>
    <s v="51-50-658"/>
    <s v="Vehicle Fuel"/>
    <n v="2479.7399999999998"/>
    <n v="2275.4499999999998"/>
    <n v="3033.9333333333329"/>
    <n v="3000"/>
    <n v="3500"/>
    <n v="3500"/>
  </r>
  <r>
    <n v="246"/>
    <x v="4"/>
    <x v="2"/>
    <n v="500"/>
    <s v="Repairs and Maintenance"/>
    <x v="36"/>
    <s v="51-50-659"/>
    <s v="Building Maintenance"/>
    <n v="3245.81"/>
    <n v="8486.24"/>
    <n v="11314.986666666668"/>
    <n v="3000"/>
    <n v="10000"/>
    <n v="5000"/>
  </r>
  <r>
    <n v="247"/>
    <x v="4"/>
    <x v="2"/>
    <n v="500"/>
    <s v="Repairs and Maintenance"/>
    <x v="36"/>
    <s v="51-50-661"/>
    <s v="Cleaning"/>
    <n v="0"/>
    <n v="0"/>
    <n v="0"/>
    <n v="0"/>
    <n v="0"/>
    <n v="0"/>
  </r>
  <r>
    <n v="248"/>
    <x v="4"/>
    <x v="2"/>
    <n v="200"/>
    <s v="General and Administrative"/>
    <x v="35"/>
    <s v="51-50-667"/>
    <s v="Backhoe Lease"/>
    <n v="0"/>
    <n v="0"/>
    <n v="0"/>
    <n v="0"/>
    <n v="0"/>
    <n v="0"/>
  </r>
  <r>
    <n v="249"/>
    <x v="4"/>
    <x v="2"/>
    <n v="200"/>
    <s v="General and Administrative"/>
    <x v="35"/>
    <s v="51-50-671"/>
    <s v="Truck Lease"/>
    <n v="0"/>
    <n v="0"/>
    <n v="0"/>
    <n v="8100"/>
    <n v="0"/>
    <n v="0"/>
  </r>
  <r>
    <n v="250"/>
    <x v="4"/>
    <x v="2"/>
    <n v="200"/>
    <s v="General and Administrative"/>
    <x v="35"/>
    <s v="51-50-675"/>
    <s v="Bank and Finance Charges"/>
    <n v="5364.76"/>
    <n v="4397.32"/>
    <n v="5863.0933333333332"/>
    <n v="6000"/>
    <n v="6000"/>
    <n v="6000"/>
  </r>
  <r>
    <n v="251"/>
    <x v="4"/>
    <x v="2"/>
    <n v="200"/>
    <s v="General and Administrative"/>
    <x v="35"/>
    <s v="51-50-677"/>
    <s v="Travel and Conferences"/>
    <n v="1115.26"/>
    <n v="1698.22"/>
    <n v="2264.2933333333335"/>
    <n v="1600"/>
    <n v="2000"/>
    <n v="2000"/>
  </r>
  <r>
    <n v="252"/>
    <x v="4"/>
    <x v="2"/>
    <n v="200"/>
    <s v="General and Administrative"/>
    <x v="35"/>
    <s v="51-50-678"/>
    <s v="Meals"/>
    <n v="0"/>
    <n v="0"/>
    <n v="0"/>
    <n v="0"/>
    <n v="0"/>
    <n v="0"/>
  </r>
  <r>
    <n v="253"/>
    <x v="4"/>
    <x v="2"/>
    <n v="200"/>
    <s v="General and Administrative"/>
    <x v="35"/>
    <s v="51-50-684"/>
    <s v="Certs and Training"/>
    <n v="530.61"/>
    <n v="535.76"/>
    <n v="714.34666666666658"/>
    <n v="1500"/>
    <n v="1500"/>
    <n v="1500"/>
  </r>
  <r>
    <n v="254"/>
    <x v="4"/>
    <x v="2"/>
    <n v="200"/>
    <s v="General and Administrative"/>
    <x v="35"/>
    <s v="51-50-690"/>
    <s v="Computer &amp; Office Equipment"/>
    <n v="891.44"/>
    <n v="673.61"/>
    <n v="898.14666666666676"/>
    <n v="1000"/>
    <n v="1000"/>
    <n v="1000"/>
  </r>
  <r>
    <n v="255"/>
    <x v="4"/>
    <x v="2"/>
    <n v="200"/>
    <s v="General and Administrative"/>
    <x v="35"/>
    <s v="51-50-694"/>
    <s v="Clothing &amp; Protective Gear"/>
    <n v="923.1"/>
    <n v="429.79"/>
    <n v="573.05333333333328"/>
    <n v="1500"/>
    <n v="2000"/>
    <n v="2000"/>
  </r>
  <r>
    <n v="256"/>
    <x v="4"/>
    <x v="2"/>
    <n v="200"/>
    <s v="General and Administrative"/>
    <x v="35"/>
    <s v="51-51-621"/>
    <s v="Engineering Services"/>
    <n v="91800.25"/>
    <n v="16938.63"/>
    <n v="22584.840000000004"/>
    <n v="100000"/>
    <n v="100000"/>
    <n v="100000"/>
  </r>
  <r>
    <n v="257"/>
    <x v="4"/>
    <x v="2"/>
    <n v="200"/>
    <s v="General and Administrative"/>
    <x v="35"/>
    <s v="51-51-622"/>
    <s v="Legal Services"/>
    <n v="0"/>
    <n v="0"/>
    <n v="0"/>
    <n v="0"/>
    <n v="0"/>
    <n v="0"/>
  </r>
  <r>
    <n v="258"/>
    <x v="4"/>
    <x v="2"/>
    <n v="200"/>
    <s v="General and Administrative"/>
    <x v="35"/>
    <s v="51-51-625"/>
    <s v="Electricity Pumphouse"/>
    <n v="5916.02"/>
    <n v="4105.51"/>
    <n v="5474.0133333333342"/>
    <n v="14000"/>
    <n v="14000"/>
    <n v="14000"/>
  </r>
  <r>
    <n v="259"/>
    <x v="4"/>
    <x v="2"/>
    <n v="200"/>
    <s v="General and Administrative"/>
    <x v="35"/>
    <s v="51-51-626"/>
    <s v="Electricity"/>
    <n v="0"/>
    <n v="0"/>
    <n v="0"/>
    <n v="1000"/>
    <n v="1000"/>
    <n v="7000"/>
  </r>
  <r>
    <n v="260"/>
    <x v="4"/>
    <x v="2"/>
    <n v="200"/>
    <s v="General and Administrative"/>
    <x v="35"/>
    <s v="51-51-628"/>
    <s v="Electricity Stewart Tank"/>
    <n v="1676.14"/>
    <n v="1844.07"/>
    <n v="2458.7599999999998"/>
    <n v="4000"/>
    <n v="4000"/>
    <n v="4000"/>
  </r>
  <r>
    <n v="261"/>
    <x v="4"/>
    <x v="2"/>
    <n v="500"/>
    <s v="Repairs and Maintenance"/>
    <x v="36"/>
    <s v="51-51-638"/>
    <s v="Repairs &amp; Maintenance"/>
    <n v="17173.830000000002"/>
    <n v="16574.21"/>
    <n v="22098.946666666663"/>
    <n v="35000"/>
    <n v="45000"/>
    <n v="45000"/>
  </r>
  <r>
    <n v="262"/>
    <x v="4"/>
    <x v="2"/>
    <n v="500"/>
    <s v="Repairs and Maintenance"/>
    <x v="36"/>
    <s v="51-51-640"/>
    <s v="Water Line and Meter Repairs"/>
    <n v="67292.83"/>
    <n v="45424.09"/>
    <n v="60565.453333333324"/>
    <n v="60000"/>
    <n v="60000"/>
    <n v="60000"/>
  </r>
  <r>
    <n v="263"/>
    <x v="4"/>
    <x v="2"/>
    <n v="200"/>
    <s v="General and Administrative"/>
    <x v="35"/>
    <s v="51-51-641"/>
    <s v="Automated Metering System"/>
    <n v="504.6"/>
    <n v="0"/>
    <n v="0"/>
    <n v="0"/>
    <n v="0"/>
    <n v="0"/>
  </r>
  <r>
    <n v="264"/>
    <x v="4"/>
    <x v="2"/>
    <n v="200"/>
    <s v="General and Administrative"/>
    <x v="35"/>
    <s v="51-51-642"/>
    <s v="Water Tests"/>
    <n v="7650.47"/>
    <n v="14203.59"/>
    <n v="18938.120000000003"/>
    <n v="8000"/>
    <n v="22000"/>
    <n v="22000"/>
  </r>
  <r>
    <n v="265"/>
    <x v="4"/>
    <x v="2"/>
    <n v="200"/>
    <s v="General and Administrative"/>
    <x v="35"/>
    <s v="51-51-645"/>
    <s v="Water Chemicals"/>
    <n v="94.35"/>
    <n v="5515"/>
    <n v="7353.3333333333339"/>
    <n v="6500"/>
    <n v="6500"/>
    <n v="6500"/>
  </r>
  <r>
    <n v="266"/>
    <x v="4"/>
    <x v="2"/>
    <n v="200"/>
    <s v="General and Administrative"/>
    <x v="35"/>
    <s v="51-51-650"/>
    <s v="Water Rights"/>
    <n v="116361.03"/>
    <n v="17343.84"/>
    <n v="23125.119999999999"/>
    <n v="60000"/>
    <n v="60000"/>
    <n v="60000"/>
  </r>
  <r>
    <n v="267"/>
    <x v="4"/>
    <x v="2"/>
    <n v="600"/>
    <s v="Bad Debt"/>
    <x v="37"/>
    <s v="51-51-664"/>
    <s v="Bad Debt Expense - Water"/>
    <n v="0"/>
    <n v="0"/>
    <n v="0"/>
    <n v="0"/>
    <n v="0"/>
    <n v="0"/>
  </r>
  <r>
    <n v="268"/>
    <x v="4"/>
    <x v="2"/>
    <n v="970"/>
    <s v="Debt Principle Payments"/>
    <x v="38"/>
    <s v="51-51-668"/>
    <s v="Bond &amp; Debt Payments"/>
    <n v="0"/>
    <n v="0"/>
    <n v="0"/>
    <n v="138000"/>
    <n v="138000"/>
    <n v="141000"/>
  </r>
  <r>
    <n v="269"/>
    <x v="4"/>
    <x v="2"/>
    <n v="620"/>
    <s v="Interest Expense"/>
    <x v="39"/>
    <s v="51-51-674"/>
    <s v="Interest Expense"/>
    <n v="25845"/>
    <n v="0"/>
    <n v="0"/>
    <n v="91558"/>
    <n v="22158.400000000001"/>
    <n v="19337.5"/>
  </r>
  <r>
    <n v="270"/>
    <x v="4"/>
    <x v="2"/>
    <n v="200"/>
    <s v="General and Administrative"/>
    <x v="35"/>
    <s v="51-51-675"/>
    <s v="Bankcard Fees"/>
    <n v="0"/>
    <n v="0"/>
    <n v="0"/>
    <n v="0"/>
    <n v="0"/>
    <n v="0"/>
  </r>
  <r>
    <n v="271"/>
    <x v="4"/>
    <x v="2"/>
    <n v="700"/>
    <s v="Depreciation and Amortization"/>
    <x v="40"/>
    <s v="51-51-688"/>
    <s v="Depreciation"/>
    <n v="134778.5"/>
    <n v="56157.7"/>
    <n v="74876.933333333334"/>
    <n v="87202"/>
    <n v="87202"/>
    <n v="87202"/>
  </r>
  <r>
    <n v="272"/>
    <x v="4"/>
    <x v="2"/>
    <n v="710"/>
    <s v="capital Outlay"/>
    <x v="41"/>
    <s v="51-51-690"/>
    <s v="capital OUTLAY-NEW WELL PROJ"/>
    <n v="0"/>
    <n v="0"/>
    <n v="0"/>
    <n v="0"/>
    <n v="0"/>
    <n v="0"/>
  </r>
  <r>
    <n v="273"/>
    <x v="4"/>
    <x v="2"/>
    <n v="710"/>
    <s v="capital Outlay"/>
    <x v="41"/>
    <s v="51-51-691"/>
    <s v="capital Equipment"/>
    <n v="0"/>
    <n v="24073"/>
    <n v="32097.333333333336"/>
    <n v="1120000"/>
    <n v="930000"/>
    <n v="1590000"/>
  </r>
  <r>
    <n v="274"/>
    <x v="4"/>
    <x v="2"/>
    <n v="710"/>
    <s v="capital Outlay"/>
    <x v="41"/>
    <s v="51-51-692"/>
    <s v="capital Outlay-Infiltration"/>
    <n v="0"/>
    <n v="605022.92000000004"/>
    <n v="806697.2266666668"/>
    <n v="0"/>
    <n v="0"/>
    <n v="0"/>
  </r>
  <r>
    <n v="275"/>
    <x v="4"/>
    <x v="2"/>
    <n v="720"/>
    <s v="Gain/Loss on disposal"/>
    <x v="42"/>
    <s v="51-51-697"/>
    <s v="Loss on Disposal of Fix Asset"/>
    <n v="15839.5"/>
    <n v="0"/>
    <n v="0"/>
    <n v="0"/>
    <n v="0"/>
    <n v="0"/>
  </r>
  <r>
    <n v="276"/>
    <x v="0"/>
    <x v="3"/>
    <n v="10000"/>
    <s v="Cash and Cash Equivalents"/>
    <x v="0"/>
    <s v="52-10000"/>
    <s v="Cash Combined Fund"/>
    <n v="-626932.81000000006"/>
    <n v="402077.56"/>
    <m/>
    <n v="0"/>
    <n v="0"/>
    <n v="0"/>
  </r>
  <r>
    <n v="277"/>
    <x v="0"/>
    <x v="3"/>
    <n v="16200"/>
    <s v="Noncurrent restricted cash and investments"/>
    <x v="1"/>
    <s v="52-10500"/>
    <s v="Restricted Cash"/>
    <n v="0"/>
    <n v="0"/>
    <m/>
    <n v="0"/>
    <n v="0"/>
    <n v="0"/>
  </r>
  <r>
    <n v="278"/>
    <x v="0"/>
    <x v="3"/>
    <n v="10000"/>
    <s v="Cash and Cash Equivalents"/>
    <x v="0"/>
    <s v="52-10620"/>
    <s v="8818 PTIF WasteWater Reserve"/>
    <n v="97399.69"/>
    <n v="100275.37"/>
    <m/>
    <n v="0"/>
    <n v="0"/>
    <n v="0"/>
  </r>
  <r>
    <n v="279"/>
    <x v="0"/>
    <x v="3"/>
    <n v="16200"/>
    <s v="Noncurrent restricted cash and investments"/>
    <x v="1"/>
    <s v="52-10621"/>
    <s v="9024 WW Redevel Match Grant"/>
    <n v="4361371.9400000004"/>
    <n v="1401240.44"/>
    <m/>
    <n v="0"/>
    <n v="0"/>
    <n v="0"/>
  </r>
  <r>
    <n v="280"/>
    <x v="0"/>
    <x v="3"/>
    <n v="10000"/>
    <s v="Cash and Cash Equivalents"/>
    <x v="0"/>
    <s v="52-10622"/>
    <s v="9546 PTIF WasteWater Reserve"/>
    <n v="4049.25"/>
    <n v="0"/>
    <m/>
    <n v="0"/>
    <n v="0"/>
    <n v="0"/>
  </r>
  <r>
    <n v="281"/>
    <x v="0"/>
    <x v="3"/>
    <n v="11500"/>
    <s v="Accounts Receivable"/>
    <x v="2"/>
    <s v="52-11500"/>
    <s v="Accounts Receivable"/>
    <n v="62964.91"/>
    <n v="63504.83"/>
    <m/>
    <n v="0"/>
    <n v="0"/>
    <n v="0"/>
  </r>
  <r>
    <n v="282"/>
    <x v="0"/>
    <x v="3"/>
    <n v="11500"/>
    <s v="Accounts Receivable"/>
    <x v="2"/>
    <s v="52-11570"/>
    <s v="Allow for Doubtful Accts"/>
    <n v="-5000"/>
    <n v="-5000"/>
    <m/>
    <m/>
    <n v="0"/>
    <n v="0"/>
  </r>
  <r>
    <n v="283"/>
    <x v="0"/>
    <x v="3"/>
    <n v="16320"/>
    <s v="Equipment"/>
    <x v="5"/>
    <s v="52-16020"/>
    <s v="Sewer Vehicles"/>
    <n v="203906.5"/>
    <n v="203906.5"/>
    <m/>
    <n v="0"/>
    <n v="0"/>
    <n v="0"/>
  </r>
  <r>
    <n v="284"/>
    <x v="0"/>
    <x v="3"/>
    <n v="16400"/>
    <s v="Wastewater system"/>
    <x v="46"/>
    <s v="52-16400"/>
    <s v="Wastewater System"/>
    <n v="5511999.0999999996"/>
    <n v="5511999.0999999996"/>
    <m/>
    <n v="0"/>
    <n v="0"/>
    <n v="0"/>
  </r>
  <r>
    <n v="285"/>
    <x v="0"/>
    <x v="3"/>
    <n v="16500"/>
    <s v="Right to use assets"/>
    <x v="8"/>
    <s v="52-16500"/>
    <s v="RUA - Equipment"/>
    <n v="0"/>
    <n v="0"/>
    <m/>
    <n v="0"/>
    <n v="0"/>
    <n v="0"/>
  </r>
  <r>
    <n v="286"/>
    <x v="0"/>
    <x v="3"/>
    <n v="16600"/>
    <s v="Construction In Progress"/>
    <x v="9"/>
    <s v="52-16600"/>
    <s v="Construction In Progress"/>
    <n v="9420291.2899999991"/>
    <n v="9420291.2899999991"/>
    <m/>
    <n v="0"/>
    <n v="0"/>
    <n v="0"/>
  </r>
  <r>
    <n v="287"/>
    <x v="0"/>
    <x v="3"/>
    <n v="16900"/>
    <s v="Accumulated Depreciation"/>
    <x v="11"/>
    <s v="52-16900"/>
    <s v="Accumulated Depreciation"/>
    <n v="-1921637.82"/>
    <n v="-1985366.17"/>
    <m/>
    <n v="0"/>
    <n v="0"/>
    <n v="0"/>
  </r>
  <r>
    <n v="288"/>
    <x v="0"/>
    <x v="3"/>
    <n v="17000"/>
    <s v="Net Pension Asset"/>
    <x v="12"/>
    <s v="52-17000"/>
    <s v="Net Pension Asset"/>
    <n v="0"/>
    <n v="0"/>
    <m/>
    <m/>
    <n v="0"/>
    <n v="0"/>
  </r>
  <r>
    <n v="289"/>
    <x v="0"/>
    <x v="3"/>
    <n v="17010"/>
    <s v="Deferred Outflows - Pensions"/>
    <x v="13"/>
    <s v="52-17010"/>
    <s v="Deferred Outflows-Pensions"/>
    <n v="35133"/>
    <n v="35133"/>
    <m/>
    <m/>
    <n v="0"/>
    <n v="0"/>
  </r>
  <r>
    <n v="290"/>
    <x v="1"/>
    <x v="3"/>
    <n v="21100"/>
    <s v="Accounts Payable"/>
    <x v="14"/>
    <s v="52-21100"/>
    <s v="Accounts Payable"/>
    <n v="-847395.19"/>
    <n v="819.67"/>
    <m/>
    <n v="0"/>
    <n v="0"/>
    <n v="0"/>
  </r>
  <r>
    <n v="291"/>
    <x v="1"/>
    <x v="3"/>
    <n v="21100"/>
    <s v="Accounts Payable"/>
    <x v="14"/>
    <s v="52-21150"/>
    <s v="Retention Payable"/>
    <n v="-518952.26"/>
    <n v="-518952.26"/>
    <m/>
    <n v="0"/>
    <n v="0"/>
    <n v="0"/>
  </r>
  <r>
    <n v="292"/>
    <x v="1"/>
    <x v="3"/>
    <n v="21100"/>
    <s v="Accounts Payable"/>
    <x v="14"/>
    <s v="52-21155"/>
    <s v="Retention Interest Payable"/>
    <n v="0"/>
    <n v="-12256.3"/>
    <m/>
    <m/>
    <n v="0"/>
    <n v="0"/>
  </r>
  <r>
    <n v="293"/>
    <x v="1"/>
    <x v="3"/>
    <n v="22200"/>
    <s v="Accrued Expenses"/>
    <x v="15"/>
    <s v="52-22200"/>
    <s v="Salaries &amp; Wages Payable"/>
    <n v="-7768.23"/>
    <n v="-13842.14"/>
    <m/>
    <n v="0"/>
    <n v="0"/>
    <n v="0"/>
  </r>
  <r>
    <n v="294"/>
    <x v="1"/>
    <x v="3"/>
    <n v="22200"/>
    <s v="Accrued Expenses"/>
    <x v="15"/>
    <s v="52-22210"/>
    <s v="Payroll Taxes Payable"/>
    <n v="0"/>
    <n v="-2276.37"/>
    <m/>
    <n v="0"/>
    <n v="0"/>
    <n v="0"/>
  </r>
  <r>
    <n v="295"/>
    <x v="1"/>
    <x v="3"/>
    <n v="22200"/>
    <s v="Accrued Expenses"/>
    <x v="15"/>
    <s v="52-22500"/>
    <s v="Retirement Payable"/>
    <n v="0"/>
    <n v="-1927.22"/>
    <m/>
    <n v="0"/>
    <n v="0"/>
    <n v="0"/>
  </r>
  <r>
    <n v="296"/>
    <x v="1"/>
    <x v="3"/>
    <n v="28560"/>
    <s v="Net Pension Liability"/>
    <x v="16"/>
    <s v="52-22510"/>
    <s v="Net Pension Liability"/>
    <n v="-20096"/>
    <n v="-20096"/>
    <m/>
    <m/>
    <n v="0"/>
    <n v="0"/>
  </r>
  <r>
    <n v="297"/>
    <x v="1"/>
    <x v="3"/>
    <n v="22520"/>
    <s v="Deferred inflows"/>
    <x v="17"/>
    <s v="52-22520"/>
    <s v="Deferred Inflows-Pensions"/>
    <n v="-383"/>
    <n v="-383"/>
    <m/>
    <m/>
    <n v="0"/>
    <n v="0"/>
  </r>
  <r>
    <n v="298"/>
    <x v="1"/>
    <x v="3"/>
    <n v="22200"/>
    <s v="Accrued Expenses"/>
    <x v="15"/>
    <s v="52-22600"/>
    <s v="Payroll Benefits Payable"/>
    <n v="0"/>
    <n v="12.16"/>
    <m/>
    <n v="0"/>
    <n v="0"/>
    <n v="0"/>
  </r>
  <r>
    <n v="299"/>
    <x v="1"/>
    <x v="3"/>
    <n v="22200"/>
    <s v="Accrued Expenses"/>
    <x v="15"/>
    <s v="52-22700"/>
    <s v="Worker's Comp Payable"/>
    <n v="0"/>
    <n v="0"/>
    <m/>
    <n v="0"/>
    <n v="0"/>
    <n v="0"/>
  </r>
  <r>
    <n v="300"/>
    <x v="1"/>
    <x v="3"/>
    <n v="22200"/>
    <s v="Accrued Expenses"/>
    <x v="15"/>
    <s v="52-22800"/>
    <s v="Flex/LTD Payable"/>
    <n v="0"/>
    <n v="-22.86"/>
    <m/>
    <n v="0"/>
    <n v="0"/>
    <n v="0"/>
  </r>
  <r>
    <n v="301"/>
    <x v="1"/>
    <x v="3"/>
    <n v="23000"/>
    <s v="Unearned Revenue"/>
    <x v="18"/>
    <s v="52-23000"/>
    <s v="Unearned Revenue"/>
    <n v="-1810745.67"/>
    <n v="-1810745.67"/>
    <m/>
    <n v="0"/>
    <n v="0"/>
    <n v="0"/>
  </r>
  <r>
    <n v="302"/>
    <x v="1"/>
    <x v="3"/>
    <n v="22200"/>
    <s v="Accrued Expenses"/>
    <x v="15"/>
    <s v="52-25100"/>
    <s v="Accrued Vacation"/>
    <n v="-11853.26"/>
    <n v="-11853.26"/>
    <m/>
    <n v="0"/>
    <n v="0"/>
    <n v="0"/>
  </r>
  <r>
    <n v="303"/>
    <x v="1"/>
    <x v="3"/>
    <n v="22250"/>
    <s v="Compensated Absences Noncurrent"/>
    <x v="19"/>
    <s v="52-25125"/>
    <s v="Compensated Absences Noncurrent"/>
    <n v="-13891"/>
    <n v="-13891"/>
    <m/>
    <n v="0"/>
    <n v="0"/>
    <n v="0"/>
  </r>
  <r>
    <n v="304"/>
    <x v="1"/>
    <x v="3"/>
    <n v="28000"/>
    <s v="Accrued Interest Payable"/>
    <x v="20"/>
    <s v="52-28000"/>
    <s v="Sewer Accrued Interest"/>
    <n v="0"/>
    <n v="0"/>
    <m/>
    <n v="0"/>
    <n v="0"/>
    <n v="0"/>
  </r>
  <r>
    <n v="305"/>
    <x v="1"/>
    <x v="3"/>
    <n v="28521"/>
    <s v="capital Leases Payable - Current"/>
    <x v="24"/>
    <s v="52-28521"/>
    <s v="Leases Current Portion"/>
    <n v="0"/>
    <n v="0"/>
    <m/>
    <n v="0"/>
    <n v="0"/>
    <n v="0"/>
  </r>
  <r>
    <n v="306"/>
    <x v="1"/>
    <x v="3"/>
    <n v="28540"/>
    <s v="Bonds Payable - Noncurrent"/>
    <x v="25"/>
    <s v="52-28530"/>
    <s v="State of Utah Plant Note"/>
    <n v="-170325"/>
    <n v="-170325"/>
    <m/>
    <n v="0"/>
    <n v="0"/>
    <n v="0"/>
  </r>
  <r>
    <n v="307"/>
    <x v="1"/>
    <x v="3"/>
    <n v="28540"/>
    <s v="Bonds Payable - Noncurrent"/>
    <x v="25"/>
    <s v="52-28540"/>
    <s v="State of Utah 2025 WW Loan"/>
    <n v="-71000"/>
    <n v="-71000"/>
    <m/>
    <n v="0"/>
    <n v="0"/>
    <n v="0"/>
  </r>
  <r>
    <n v="308"/>
    <x v="1"/>
    <x v="3"/>
    <n v="28520"/>
    <s v="capital Leases Payable  - Noncurrent"/>
    <x v="23"/>
    <s v="52-28570"/>
    <s v="Leases"/>
    <n v="0"/>
    <n v="0"/>
    <m/>
    <n v="0"/>
    <n v="0"/>
    <n v="0"/>
  </r>
  <r>
    <n v="309"/>
    <x v="2"/>
    <x v="3"/>
    <n v="29100"/>
    <s v="Unrestricted"/>
    <x v="27"/>
    <s v="52-29100"/>
    <s v="Fund Balance"/>
    <n v="-5771672.2400000002"/>
    <n v="-13671135.439999999"/>
    <m/>
    <n v="0"/>
    <n v="0"/>
    <n v="0"/>
  </r>
  <r>
    <n v="310"/>
    <x v="3"/>
    <x v="3"/>
    <n v="70"/>
    <s v="Grant revenue"/>
    <x v="29"/>
    <s v="52-30-410"/>
    <s v="Grant Revenue"/>
    <n v="-7659654.3099999996"/>
    <n v="0"/>
    <n v="0"/>
    <n v="0"/>
    <n v="-2619841.59"/>
    <n v="0"/>
  </r>
  <r>
    <n v="311"/>
    <x v="3"/>
    <x v="3"/>
    <n v="30"/>
    <s v="Charges for services"/>
    <x v="28"/>
    <s v="52-30-465"/>
    <s v="Sewer Income"/>
    <n v="-685128.8"/>
    <n v="-515578.6"/>
    <n v="-687438.1333333333"/>
    <n v="-685000"/>
    <n v="-685000"/>
    <n v="-685000"/>
  </r>
  <r>
    <n v="312"/>
    <x v="3"/>
    <x v="3"/>
    <n v="960"/>
    <s v="Interest income"/>
    <x v="30"/>
    <s v="52-30-470"/>
    <s v="Interest &amp; Finance Charges"/>
    <n v="0"/>
    <n v="0"/>
    <n v="0"/>
    <n v="0"/>
    <n v="0"/>
    <n v="0"/>
  </r>
  <r>
    <n v="313"/>
    <x v="3"/>
    <x v="3"/>
    <n v="30"/>
    <s v="Charges for services"/>
    <x v="28"/>
    <s v="52-30-475"/>
    <s v="Other Income"/>
    <n v="-39079.58"/>
    <n v="0"/>
    <n v="0"/>
    <n v="-480"/>
    <n v="-480"/>
    <n v="-480"/>
  </r>
  <r>
    <n v="314"/>
    <x v="3"/>
    <x v="3"/>
    <n v="960"/>
    <s v="Interest income"/>
    <x v="30"/>
    <s v="52-30-505"/>
    <s v="Interest from Investments"/>
    <n v="-249750.36"/>
    <n v="-79655.240000000005"/>
    <n v="-106206.98666666668"/>
    <n v="-50000"/>
    <n v="-50000"/>
    <n v="-50000"/>
  </r>
  <r>
    <n v="315"/>
    <x v="4"/>
    <x v="3"/>
    <n v="100"/>
    <s v="Salaries and Benefits"/>
    <x v="34"/>
    <s v="52-50-600"/>
    <s v="Salaries and Wages"/>
    <n v="195961.71"/>
    <n v="151760.79999999999"/>
    <n v="202347.73333333334"/>
    <n v="259590.18340500002"/>
    <n v="258650.34900000002"/>
    <n v="210153.56189999994"/>
  </r>
  <r>
    <n v="316"/>
    <x v="4"/>
    <x v="3"/>
    <n v="100"/>
    <s v="Salaries and Benefits"/>
    <x v="34"/>
    <s v="52-50-601"/>
    <s v="Payroll Taxes"/>
    <n v="15297.95"/>
    <n v="12536.54"/>
    <n v="16715.386666666669"/>
    <n v="19858.649030482498"/>
    <n v="19786.7516985"/>
    <n v="16076.747485349995"/>
  </r>
  <r>
    <n v="317"/>
    <x v="4"/>
    <x v="3"/>
    <n v="100"/>
    <s v="Salaries and Benefits"/>
    <x v="34"/>
    <s v="52-50-602"/>
    <s v="Retirement"/>
    <n v="35513.699999999997"/>
    <n v="28084.16"/>
    <n v="37445.546666666669"/>
    <n v="39004.434000000008"/>
    <n v="38885.520000000004"/>
    <n v="30695.847519999999"/>
  </r>
  <r>
    <n v="318"/>
    <x v="4"/>
    <x v="3"/>
    <n v="100"/>
    <s v="Salaries and Benefits"/>
    <x v="34"/>
    <s v="52-50-603"/>
    <s v="Medical, LTD, Life, AD&amp;D"/>
    <n v="42429.4"/>
    <n v="30726.81"/>
    <n v="40969.08"/>
    <n v="53007.742125000004"/>
    <n v="53023.255799999999"/>
    <n v="114383.75237599999"/>
  </r>
  <r>
    <n v="319"/>
    <x v="4"/>
    <x v="3"/>
    <n v="100"/>
    <s v="Salaries and Benefits"/>
    <x v="34"/>
    <s v="52-50-604"/>
    <s v="Worker's Compensation"/>
    <n v="1322.95"/>
    <n v="1005.24"/>
    <n v="1340.32"/>
    <n v="5007.4078656000002"/>
    <n v="4985.4406399999998"/>
    <n v="4006.0952379999999"/>
  </r>
  <r>
    <n v="320"/>
    <x v="4"/>
    <x v="3"/>
    <n v="100"/>
    <s v="Salaries and Benefits"/>
    <x v="34"/>
    <s v="52-50-607"/>
    <s v="Vacation/Sick/Holiday"/>
    <n v="10894.21"/>
    <n v="12460.09"/>
    <n v="16613.453333333335"/>
    <n v="0"/>
    <n v="0"/>
    <n v="0"/>
  </r>
  <r>
    <n v="321"/>
    <x v="4"/>
    <x v="3"/>
    <n v="100"/>
    <s v="Salaries and Benefits"/>
    <x v="34"/>
    <s v="52-50-608"/>
    <s v="Flex Plan"/>
    <n v="5.84"/>
    <n v="9.86"/>
    <n v="13.146666666666665"/>
    <n v="76.800000000000011"/>
    <n v="76.800000000000011"/>
    <n v="134.40000000000003"/>
  </r>
  <r>
    <n v="322"/>
    <x v="4"/>
    <x v="3"/>
    <n v="100"/>
    <s v="Salaries and Benefits"/>
    <x v="34"/>
    <s v="52-50-609"/>
    <s v="Employee/Vol Incentives"/>
    <n v="1149.5"/>
    <n v="54.18"/>
    <n v="72.239999999999995"/>
    <n v="600"/>
    <n v="600"/>
    <n v="600"/>
  </r>
  <r>
    <n v="323"/>
    <x v="4"/>
    <x v="3"/>
    <n v="200"/>
    <s v="General and Administrative"/>
    <x v="35"/>
    <s v="52-50-612"/>
    <s v="Supplies"/>
    <n v="6183.16"/>
    <n v="5671.47"/>
    <n v="7561.9600000000009"/>
    <n v="7000"/>
    <n v="7000"/>
    <n v="7000"/>
  </r>
  <r>
    <n v="324"/>
    <x v="4"/>
    <x v="3"/>
    <n v="200"/>
    <s v="General and Administrative"/>
    <x v="35"/>
    <s v="52-50-615"/>
    <s v="Dues and Subscriptions"/>
    <n v="2768.61"/>
    <n v="8708.06"/>
    <n v="11610.746666666666"/>
    <n v="2800"/>
    <n v="12000"/>
    <n v="12000"/>
  </r>
  <r>
    <n v="325"/>
    <x v="4"/>
    <x v="3"/>
    <n v="200"/>
    <s v="General and Administrative"/>
    <x v="35"/>
    <s v="52-50-618"/>
    <s v="Accounting Services"/>
    <n v="6815.07"/>
    <n v="7418.56"/>
    <n v="9891.4133333333339"/>
    <n v="10000"/>
    <n v="10000"/>
    <n v="10000"/>
  </r>
  <r>
    <n v="326"/>
    <x v="4"/>
    <x v="3"/>
    <n v="200"/>
    <s v="General and Administrative"/>
    <x v="35"/>
    <s v="52-50-619"/>
    <s v="IT Services"/>
    <n v="4596.22"/>
    <n v="2607.86"/>
    <n v="3477.146666666667"/>
    <n v="8000"/>
    <n v="8000"/>
    <n v="8000"/>
  </r>
  <r>
    <n v="327"/>
    <x v="4"/>
    <x v="3"/>
    <n v="200"/>
    <s v="General and Administrative"/>
    <x v="35"/>
    <s v="52-50-620"/>
    <s v="Software"/>
    <n v="6539.66"/>
    <n v="2533.3000000000002"/>
    <n v="3377.7333333333336"/>
    <n v="6000"/>
    <n v="6000"/>
    <n v="6000"/>
  </r>
  <r>
    <n v="328"/>
    <x v="4"/>
    <x v="3"/>
    <n v="200"/>
    <s v="General and Administrative"/>
    <x v="35"/>
    <s v="52-50-622"/>
    <s v="Legal Services"/>
    <n v="73683"/>
    <n v="2815.98"/>
    <n v="3754.64"/>
    <n v="100000"/>
    <n v="100000"/>
    <n v="100000"/>
  </r>
  <r>
    <n v="329"/>
    <x v="4"/>
    <x v="3"/>
    <n v="200"/>
    <s v="General and Administrative"/>
    <x v="35"/>
    <s v="52-50-623"/>
    <s v="Advertising"/>
    <n v="248.31"/>
    <n v="31.2"/>
    <n v="41.6"/>
    <n v="500"/>
    <n v="500"/>
    <n v="500"/>
  </r>
  <r>
    <n v="330"/>
    <x v="4"/>
    <x v="3"/>
    <n v="200"/>
    <s v="General and Administrative"/>
    <x v="35"/>
    <s v="52-50-629"/>
    <s v="Utilities-Communications"/>
    <n v="5682.83"/>
    <n v="4518.37"/>
    <n v="6024.4933333333329"/>
    <n v="6500"/>
    <n v="6500"/>
    <n v="6500"/>
  </r>
  <r>
    <n v="331"/>
    <x v="4"/>
    <x v="3"/>
    <n v="200"/>
    <s v="General and Administrative"/>
    <x v="35"/>
    <s v="52-50-635"/>
    <s v="Insurance"/>
    <n v="18165.23"/>
    <n v="18479.64"/>
    <n v="24639.519999999997"/>
    <n v="20000"/>
    <n v="20000"/>
    <n v="20000"/>
  </r>
  <r>
    <n v="332"/>
    <x v="4"/>
    <x v="3"/>
    <n v="500"/>
    <s v="Repairs and Maintenance"/>
    <x v="36"/>
    <s v="52-50-654"/>
    <s v="Vehicle Repairs and Maint"/>
    <n v="1764.42"/>
    <n v="1012.84"/>
    <n v="1350.4533333333334"/>
    <n v="1850"/>
    <n v="1850"/>
    <n v="1850"/>
  </r>
  <r>
    <n v="333"/>
    <x v="4"/>
    <x v="3"/>
    <n v="500"/>
    <s v="Repairs and Maintenance"/>
    <x v="36"/>
    <s v="52-50-658"/>
    <s v="Vehicle Fuel"/>
    <n v="2479.7199999999998"/>
    <n v="2275.44"/>
    <n v="3033.92"/>
    <n v="3000"/>
    <n v="3500"/>
    <n v="3500"/>
  </r>
  <r>
    <n v="334"/>
    <x v="4"/>
    <x v="3"/>
    <n v="500"/>
    <s v="Repairs and Maintenance"/>
    <x v="36"/>
    <s v="52-50-659"/>
    <s v="Building Maintenance"/>
    <n v="3381.39"/>
    <n v="9338.35"/>
    <n v="12451.133333333333"/>
    <n v="4000"/>
    <n v="15000"/>
    <n v="5000"/>
  </r>
  <r>
    <n v="335"/>
    <x v="4"/>
    <x v="3"/>
    <n v="500"/>
    <s v="Repairs and Maintenance"/>
    <x v="36"/>
    <s v="52-50-661"/>
    <s v="Cleaning"/>
    <n v="0"/>
    <n v="0"/>
    <n v="0"/>
    <n v="0"/>
    <n v="0"/>
    <n v="0"/>
  </r>
  <r>
    <n v="336"/>
    <x v="4"/>
    <x v="3"/>
    <n v="200"/>
    <s v="General and Administrative"/>
    <x v="35"/>
    <s v="52-50-667"/>
    <s v="Backhoe Lease"/>
    <n v="0"/>
    <n v="0"/>
    <n v="0"/>
    <n v="20000"/>
    <n v="0"/>
    <n v="0"/>
  </r>
  <r>
    <n v="337"/>
    <x v="4"/>
    <x v="3"/>
    <n v="200"/>
    <s v="General and Administrative"/>
    <x v="35"/>
    <s v="52-50-671"/>
    <s v="Truck Lease"/>
    <n v="0"/>
    <n v="0"/>
    <n v="0"/>
    <n v="8000"/>
    <n v="0"/>
    <n v="0"/>
  </r>
  <r>
    <n v="338"/>
    <x v="4"/>
    <x v="3"/>
    <n v="200"/>
    <s v="General and Administrative"/>
    <x v="35"/>
    <s v="52-50-675"/>
    <s v="Bank and Finance Charges"/>
    <n v="3853.03"/>
    <n v="2897.27"/>
    <n v="3863.0266666666666"/>
    <n v="3900"/>
    <n v="3900"/>
    <n v="3900"/>
  </r>
  <r>
    <n v="339"/>
    <x v="4"/>
    <x v="3"/>
    <n v="200"/>
    <s v="General and Administrative"/>
    <x v="35"/>
    <s v="52-50-677"/>
    <s v="Travel and Conferences"/>
    <n v="979.88"/>
    <n v="962.84"/>
    <n v="1283.7866666666666"/>
    <n v="1600"/>
    <n v="1600"/>
    <n v="1600"/>
  </r>
  <r>
    <n v="340"/>
    <x v="4"/>
    <x v="3"/>
    <n v="200"/>
    <s v="General and Administrative"/>
    <x v="35"/>
    <s v="52-50-678"/>
    <s v="Meals"/>
    <n v="0"/>
    <n v="0"/>
    <n v="0"/>
    <n v="0"/>
    <n v="0"/>
    <n v="0"/>
  </r>
  <r>
    <n v="341"/>
    <x v="4"/>
    <x v="3"/>
    <n v="200"/>
    <s v="General and Administrative"/>
    <x v="35"/>
    <s v="52-50-684"/>
    <s v="Certs and Training"/>
    <n v="54.6"/>
    <n v="373.76"/>
    <n v="498.34666666666664"/>
    <n v="1500"/>
    <n v="1500"/>
    <n v="1500"/>
  </r>
  <r>
    <n v="342"/>
    <x v="4"/>
    <x v="3"/>
    <n v="200"/>
    <s v="General and Administrative"/>
    <x v="35"/>
    <s v="52-50-690"/>
    <s v="Computer &amp; Office Equipment"/>
    <n v="891.42"/>
    <n v="616.75"/>
    <n v="822.33333333333326"/>
    <n v="1000"/>
    <n v="1000"/>
    <n v="1000"/>
  </r>
  <r>
    <n v="343"/>
    <x v="4"/>
    <x v="3"/>
    <n v="200"/>
    <s v="General and Administrative"/>
    <x v="35"/>
    <s v="52-50-694"/>
    <s v="Clothing and Protective Gear"/>
    <n v="977.09"/>
    <n v="585.16999999999996"/>
    <n v="780.22666666666657"/>
    <n v="1500"/>
    <n v="2000"/>
    <n v="2000"/>
  </r>
  <r>
    <n v="344"/>
    <x v="4"/>
    <x v="3"/>
    <n v="200"/>
    <s v="General and Administrative"/>
    <x v="35"/>
    <s v="52-52-621"/>
    <s v="Engineering Services"/>
    <n v="7424"/>
    <n v="948.12"/>
    <n v="1264.1599999999999"/>
    <n v="15000"/>
    <n v="15000"/>
    <n v="15000"/>
  </r>
  <r>
    <n v="345"/>
    <x v="4"/>
    <x v="3"/>
    <n v="200"/>
    <s v="General and Administrative"/>
    <x v="35"/>
    <s v="52-52-626"/>
    <s v="Electricity"/>
    <n v="24532.66"/>
    <n v="19187.23"/>
    <n v="25582.973333333335"/>
    <n v="25000"/>
    <n v="25000"/>
    <n v="25000"/>
  </r>
  <r>
    <n v="346"/>
    <x v="4"/>
    <x v="3"/>
    <n v="200"/>
    <s v="General and Administrative"/>
    <x v="35"/>
    <s v="52-52-633"/>
    <s v="Propane"/>
    <n v="16148.79"/>
    <n v="5225.53"/>
    <n v="6967.373333333333"/>
    <n v="25000"/>
    <n v="25000"/>
    <n v="25000"/>
  </r>
  <r>
    <n v="347"/>
    <x v="4"/>
    <x v="3"/>
    <n v="200"/>
    <s v="General and Administrative"/>
    <x v="35"/>
    <s v="52-52-637"/>
    <s v="Alarm"/>
    <n v="1929.5"/>
    <n v="1419.2"/>
    <n v="1892.2666666666669"/>
    <n v="1500"/>
    <n v="1600"/>
    <n v="1600"/>
  </r>
  <r>
    <n v="348"/>
    <x v="4"/>
    <x v="3"/>
    <n v="500"/>
    <s v="Repairs and Maintenance"/>
    <x v="36"/>
    <s v="52-52-638"/>
    <s v="Repairs &amp; Maintenance"/>
    <n v="14977.99"/>
    <n v="1109.1500000000001"/>
    <n v="1478.8666666666668"/>
    <n v="23000"/>
    <n v="33000"/>
    <n v="33000"/>
  </r>
  <r>
    <n v="349"/>
    <x v="4"/>
    <x v="3"/>
    <n v="200"/>
    <s v="General and Administrative"/>
    <x v="35"/>
    <s v="52-52-643"/>
    <s v="Testing"/>
    <n v="8658.11"/>
    <n v="6326.73"/>
    <n v="8435.64"/>
    <n v="35000"/>
    <n v="35000"/>
    <n v="35000"/>
  </r>
  <r>
    <n v="350"/>
    <x v="4"/>
    <x v="3"/>
    <n v="200"/>
    <s v="General and Administrative"/>
    <x v="35"/>
    <s v="52-52-646"/>
    <s v="Chemicals"/>
    <n v="15271.24"/>
    <n v="7177.92"/>
    <n v="9570.56"/>
    <n v="20000"/>
    <n v="20000"/>
    <n v="20000"/>
  </r>
  <r>
    <n v="351"/>
    <x v="4"/>
    <x v="3"/>
    <n v="200"/>
    <s v="General and Administrative"/>
    <x v="35"/>
    <s v="52-52-648"/>
    <s v="Waste Disposal"/>
    <n v="15154"/>
    <n v="1199"/>
    <n v="1598.6666666666667"/>
    <n v="21000"/>
    <n v="21000"/>
    <n v="21000"/>
  </r>
  <r>
    <n v="352"/>
    <x v="4"/>
    <x v="3"/>
    <n v="600"/>
    <s v="Bad Debt"/>
    <x v="37"/>
    <s v="52-52-664"/>
    <s v="Bad Debt Expense"/>
    <n v="0"/>
    <n v="0"/>
    <n v="0"/>
    <n v="0"/>
    <n v="0"/>
    <n v="0"/>
  </r>
  <r>
    <n v="353"/>
    <x v="4"/>
    <x v="3"/>
    <n v="970"/>
    <s v="Debt Principle Payments"/>
    <x v="38"/>
    <s v="52-52-668"/>
    <s v="Bond &amp; Debt Payments"/>
    <n v="0"/>
    <n v="0"/>
    <n v="0"/>
    <n v="170325"/>
    <n v="430000"/>
    <n v="430000"/>
  </r>
  <r>
    <n v="354"/>
    <x v="4"/>
    <x v="3"/>
    <n v="620"/>
    <s v="Interest Expense"/>
    <x v="39"/>
    <s v="52-52-674"/>
    <s v="Interest Expense"/>
    <n v="12009.74"/>
    <n v="883.56"/>
    <n v="1178.08"/>
    <n v="63620"/>
    <n v="63620"/>
    <n v="63620"/>
  </r>
  <r>
    <n v="355"/>
    <x v="4"/>
    <x v="3"/>
    <n v="700"/>
    <s v="Depreciation and Amortization"/>
    <x v="40"/>
    <s v="52-52-688"/>
    <s v="Depreciation"/>
    <n v="152948"/>
    <n v="63728.35"/>
    <n v="84971.133333333331"/>
    <n v="111558"/>
    <n v="111558"/>
    <n v="111558"/>
  </r>
  <r>
    <n v="356"/>
    <x v="4"/>
    <x v="3"/>
    <n v="710"/>
    <s v="capital Outlay"/>
    <x v="41"/>
    <s v="52-52-690"/>
    <s v="capital Outlay WW Grant"/>
    <n v="0"/>
    <n v="1350357.28"/>
    <n v="1800476.3733333335"/>
    <n v="0"/>
    <n v="0"/>
    <n v="0"/>
  </r>
  <r>
    <n v="357"/>
    <x v="4"/>
    <x v="3"/>
    <n v="710"/>
    <s v="capital Outlay"/>
    <x v="41"/>
    <s v="52-52-691"/>
    <s v="capital Equipment"/>
    <n v="0"/>
    <n v="0"/>
    <n v="0"/>
    <n v="3620000"/>
    <n v="4580000"/>
    <n v="1040000"/>
  </r>
  <r>
    <n v="358"/>
    <x v="4"/>
    <x v="3"/>
    <n v="720"/>
    <s v="Gain/Loss on disposal"/>
    <x v="42"/>
    <s v="52-52-697"/>
    <s v="Loss on Disposal of Fix Asset"/>
    <n v="23456.92"/>
    <n v="0"/>
    <n v="0"/>
    <n v="0"/>
    <n v="0"/>
    <n v="0"/>
  </r>
  <r>
    <n v="359"/>
    <x v="0"/>
    <x v="4"/>
    <n v="10000"/>
    <s v="Cash and Cash Equivalents"/>
    <x v="0"/>
    <s v="53-10000"/>
    <s v="Cash Combined Fund"/>
    <n v="68314.600000000006"/>
    <n v="61488.06"/>
    <m/>
    <n v="0"/>
    <n v="0"/>
    <n v="0"/>
  </r>
  <r>
    <n v="360"/>
    <x v="0"/>
    <x v="4"/>
    <n v="16200"/>
    <s v="Noncurrent restricted cash and investments"/>
    <x v="1"/>
    <s v="53-10500"/>
    <s v="Restricted Cash"/>
    <n v="0"/>
    <n v="0"/>
    <m/>
    <n v="0"/>
    <n v="0"/>
    <n v="0"/>
  </r>
  <r>
    <n v="361"/>
    <x v="0"/>
    <x v="4"/>
    <n v="10000"/>
    <s v="Cash and Cash Equivalents"/>
    <x v="0"/>
    <s v="53-10620"/>
    <s v="8819 PTIF Public Garbage Reser"/>
    <n v="24015.39"/>
    <n v="24724.43"/>
    <m/>
    <n v="0"/>
    <n v="0"/>
    <n v="0"/>
  </r>
  <r>
    <n v="362"/>
    <x v="0"/>
    <x v="4"/>
    <n v="11500"/>
    <s v="Accounts Receivable"/>
    <x v="2"/>
    <s v="53-11500"/>
    <s v="Accounts Receivable"/>
    <n v="3373.78"/>
    <n v="3505.17"/>
    <m/>
    <n v="0"/>
    <n v="0"/>
    <n v="0"/>
  </r>
  <r>
    <n v="363"/>
    <x v="0"/>
    <x v="4"/>
    <n v="16320"/>
    <s v="Equipment"/>
    <x v="5"/>
    <s v="53-16500"/>
    <s v="Garbage Equipment"/>
    <n v="29961"/>
    <n v="29961"/>
    <m/>
    <n v="0"/>
    <n v="0"/>
    <n v="0"/>
  </r>
  <r>
    <n v="364"/>
    <x v="0"/>
    <x v="4"/>
    <n v="16900"/>
    <s v="Accumulated Depreciation"/>
    <x v="11"/>
    <s v="53-16900"/>
    <s v="Accumulated Depreciation"/>
    <n v="-29961"/>
    <n v="-29961"/>
    <m/>
    <n v="0"/>
    <n v="0"/>
    <n v="0"/>
  </r>
  <r>
    <n v="365"/>
    <x v="1"/>
    <x v="4"/>
    <n v="21100"/>
    <s v="Accounts Payable"/>
    <x v="14"/>
    <s v="53-21100"/>
    <s v="Accounts Payable"/>
    <n v="-419.58"/>
    <n v="282.77999999999997"/>
    <m/>
    <n v="0"/>
    <n v="0"/>
    <n v="0"/>
  </r>
  <r>
    <n v="366"/>
    <x v="1"/>
    <x v="4"/>
    <n v="22200"/>
    <s v="Accrued Expenses"/>
    <x v="15"/>
    <s v="53-22200"/>
    <s v="Salaries &amp; Wages Payable"/>
    <n v="-422.04"/>
    <n v="-793.58"/>
    <m/>
    <m/>
    <n v="0"/>
    <n v="0"/>
  </r>
  <r>
    <n v="367"/>
    <x v="1"/>
    <x v="4"/>
    <n v="22200"/>
    <s v="Accrued Expenses"/>
    <x v="15"/>
    <s v="53-22210"/>
    <s v="Payroll Taxes Payable"/>
    <n v="0"/>
    <n v="-143.36000000000001"/>
    <m/>
    <m/>
    <n v="0"/>
    <n v="0"/>
  </r>
  <r>
    <n v="368"/>
    <x v="1"/>
    <x v="4"/>
    <n v="22200"/>
    <s v="Accrued Expenses"/>
    <x v="15"/>
    <s v="53-22500"/>
    <s v="Retirement Payable"/>
    <n v="0"/>
    <n v="-125.23"/>
    <m/>
    <m/>
    <n v="0"/>
    <n v="0"/>
  </r>
  <r>
    <n v="369"/>
    <x v="1"/>
    <x v="4"/>
    <n v="22200"/>
    <s v="Accrued Expenses"/>
    <x v="15"/>
    <s v="53-22600"/>
    <s v="Payroll Benefits Payable"/>
    <n v="0"/>
    <n v="-7.44"/>
    <m/>
    <m/>
    <n v="0"/>
    <n v="0"/>
  </r>
  <r>
    <n v="370"/>
    <x v="1"/>
    <x v="4"/>
    <n v="22200"/>
    <s v="Accrued Expenses"/>
    <x v="15"/>
    <s v="53-22800"/>
    <s v="Flex/LTD Payable"/>
    <n v="0"/>
    <n v="-1.9"/>
    <m/>
    <m/>
    <n v="0"/>
    <n v="0"/>
  </r>
  <r>
    <n v="371"/>
    <x v="2"/>
    <x v="4"/>
    <n v="29100"/>
    <s v="Unrestricted"/>
    <x v="27"/>
    <s v="53-29100"/>
    <s v="Fund Balance"/>
    <n v="-89197.8"/>
    <n v="-94862.15"/>
    <m/>
    <n v="0"/>
    <n v="0"/>
    <n v="0"/>
  </r>
  <r>
    <n v="372"/>
    <x v="3"/>
    <x v="4"/>
    <n v="30"/>
    <s v="Charges for services"/>
    <x v="28"/>
    <s v="53-30-460"/>
    <s v="Garbage Income"/>
    <n v="-28501.63"/>
    <n v="-22954.41"/>
    <n v="-30605.879999999997"/>
    <n v="-28500"/>
    <n v="-28500"/>
    <n v="-28500"/>
  </r>
  <r>
    <n v="373"/>
    <x v="3"/>
    <x v="4"/>
    <n v="960"/>
    <s v="Interest income"/>
    <x v="30"/>
    <s v="53-30-505"/>
    <s v="Interest from Investments"/>
    <n v="-1030.3699999999999"/>
    <n v="-805.03"/>
    <n v="-1073.3733333333332"/>
    <n v="0"/>
    <n v="0"/>
    <n v="0"/>
  </r>
  <r>
    <n v="374"/>
    <x v="4"/>
    <x v="4"/>
    <n v="100"/>
    <s v="Salaries and Benefits"/>
    <x v="34"/>
    <s v="53-53-600"/>
    <s v="PW Salaries &amp; Wages"/>
    <n v="422.04"/>
    <n v="8824.7999999999993"/>
    <n v="11766.4"/>
    <n v="8668.3726500000012"/>
    <n v="8659.8013600000013"/>
    <n v="9126.9151999999995"/>
  </r>
  <r>
    <n v="375"/>
    <x v="4"/>
    <x v="4"/>
    <n v="100"/>
    <s v="Salaries and Benefits"/>
    <x v="34"/>
    <s v="53-53-601"/>
    <s v="Payroll Taxes"/>
    <n v="0"/>
    <n v="729.66"/>
    <n v="972.87999999999988"/>
    <n v="663.13050772500003"/>
    <n v="662.47480404000009"/>
    <n v="698.20901279999987"/>
  </r>
  <r>
    <n v="376"/>
    <x v="4"/>
    <x v="4"/>
    <n v="100"/>
    <s v="Salaries and Benefits"/>
    <x v="34"/>
    <s v="53-53-602"/>
    <s v="Retirement"/>
    <n v="0"/>
    <n v="1873.98"/>
    <n v="2498.64"/>
    <n v="1134"/>
    <n v="1134"/>
    <n v="1197.5017599999999"/>
  </r>
  <r>
    <n v="377"/>
    <x v="4"/>
    <x v="4"/>
    <n v="100"/>
    <s v="Salaries and Benefits"/>
    <x v="34"/>
    <s v="53-53-603"/>
    <s v="Medical, LTD, Life, AD&amp;D"/>
    <n v="0"/>
    <n v="2675.51"/>
    <n v="3567.3466666666668"/>
    <n v="1046.8824"/>
    <n v="1046.8824"/>
    <n v="1130.8846035199999"/>
  </r>
  <r>
    <n v="378"/>
    <x v="4"/>
    <x v="4"/>
    <n v="100"/>
    <s v="Salaries and Benefits"/>
    <x v="34"/>
    <s v="53-53-604"/>
    <s v="Worker's Compensation"/>
    <n v="0"/>
    <n v="0"/>
    <n v="0"/>
    <n v="158.61578880000002"/>
    <n v="158.19072"/>
    <n v="166.78022399999998"/>
  </r>
  <r>
    <n v="379"/>
    <x v="4"/>
    <x v="4"/>
    <n v="100"/>
    <s v="Salaries and Benefits"/>
    <x v="34"/>
    <s v="53-53-607"/>
    <s v="Vacation/Sick/Holiday"/>
    <n v="0"/>
    <n v="746.07"/>
    <n v="994.7600000000001"/>
    <m/>
    <n v="0"/>
    <n v="0"/>
  </r>
  <r>
    <n v="380"/>
    <x v="4"/>
    <x v="4"/>
    <n v="100"/>
    <s v="Salaries and Benefits"/>
    <x v="34"/>
    <s v="53-53-608"/>
    <s v="Flex Plan"/>
    <n v="0"/>
    <n v="0.53"/>
    <n v="0.70666666666666678"/>
    <n v="19.200000000000003"/>
    <n v="19.200000000000003"/>
    <n v="19.200000000000003"/>
  </r>
  <r>
    <n v="381"/>
    <x v="4"/>
    <x v="4"/>
    <n v="200"/>
    <s v="General and Administrative"/>
    <x v="35"/>
    <s v="53-53-623"/>
    <s v="Advertising"/>
    <n v="0"/>
    <n v="2.6"/>
    <n v="3.4666666666666668"/>
    <n v="0"/>
    <n v="0"/>
    <n v="0"/>
  </r>
  <r>
    <n v="382"/>
    <x v="4"/>
    <x v="4"/>
    <n v="200"/>
    <s v="General and Administrative"/>
    <x v="35"/>
    <s v="53-53-625"/>
    <s v="Special Studies"/>
    <n v="63"/>
    <n v="0"/>
    <n v="0"/>
    <n v="0"/>
    <n v="0"/>
    <n v="0"/>
  </r>
  <r>
    <n v="383"/>
    <x v="4"/>
    <x v="4"/>
    <n v="500"/>
    <s v="Repairs and Maintenance"/>
    <x v="36"/>
    <s v="53-53-638"/>
    <s v="Repairs &amp; Maintenance"/>
    <n v="5751.05"/>
    <n v="0"/>
    <n v="0"/>
    <n v="4000"/>
    <n v="4000"/>
    <n v="4000"/>
  </r>
  <r>
    <n v="384"/>
    <x v="4"/>
    <x v="4"/>
    <n v="200"/>
    <s v="General and Administrative"/>
    <x v="35"/>
    <s v="53-53-649"/>
    <s v="Garbage Haul and Dump"/>
    <n v="17631.560000000001"/>
    <n v="14839.51"/>
    <n v="19786.013333333332"/>
    <n v="18240"/>
    <n v="18240"/>
    <n v="18240"/>
  </r>
  <r>
    <n v="385"/>
    <x v="4"/>
    <x v="4"/>
    <n v="600"/>
    <s v="Bad Debt"/>
    <x v="37"/>
    <s v="53-53-664"/>
    <s v="Bad Debt Expense"/>
    <n v="0"/>
    <n v="0"/>
    <n v="0"/>
    <n v="0"/>
    <n v="0"/>
    <n v="0"/>
  </r>
  <r>
    <n v="386"/>
    <x v="4"/>
    <x v="4"/>
    <n v="700"/>
    <s v="Depreciation and Amortization"/>
    <x v="40"/>
    <s v="53-53-688"/>
    <s v="Depreciation"/>
    <n v="0"/>
    <n v="0"/>
    <n v="0"/>
    <n v="2122"/>
    <n v="2122"/>
    <n v="2122"/>
  </r>
  <r>
    <n v="387"/>
    <x v="4"/>
    <x v="4"/>
    <n v="710"/>
    <s v="capital Outlay"/>
    <x v="41"/>
    <s v="53-53-691"/>
    <s v="capital Equipment"/>
    <n v="0"/>
    <n v="0"/>
    <n v="0"/>
    <n v="0"/>
    <n v="0"/>
    <n v="0"/>
  </r>
  <r>
    <n v="388"/>
    <x v="0"/>
    <x v="5"/>
    <n v="10000"/>
    <s v="Cash and Cash Equivalents"/>
    <x v="0"/>
    <s v="99-10000"/>
    <s v="Cash Allocated to Other Funds"/>
    <n v="-1754102.49"/>
    <n v="-2281995.2999999998"/>
    <m/>
    <n v="0"/>
    <n v="0"/>
    <n v="0"/>
  </r>
  <r>
    <n v="389"/>
    <x v="0"/>
    <x v="5"/>
    <n v="10000"/>
    <s v="Cash and Cash Equivalents"/>
    <x v="0"/>
    <s v="99-10200"/>
    <s v="Zion's Checking"/>
    <n v="1746469.38"/>
    <n v="2273314.92"/>
    <m/>
    <n v="0"/>
    <n v="0"/>
    <n v="0"/>
  </r>
  <r>
    <n v="390"/>
    <x v="0"/>
    <x v="5"/>
    <n v="10000"/>
    <s v="Cash and Cash Equivalents"/>
    <x v="0"/>
    <s v="99-10300"/>
    <s v="Xpress Deposit Account"/>
    <n v="7633.11"/>
    <n v="8680.3799999999992"/>
    <m/>
    <n v="0"/>
    <n v="0"/>
    <n v="0"/>
  </r>
  <r>
    <n v="391"/>
    <x v="0"/>
    <x v="5"/>
    <n v="10000"/>
    <s v="Cash and Cash Equivalents"/>
    <x v="0"/>
    <s v="99-10800"/>
    <s v="Cash Clearing - Utilities"/>
    <n v="0"/>
    <n v="0"/>
    <n v="0"/>
    <n v="0"/>
    <n v="0"/>
    <n v="0"/>
  </r>
  <r>
    <n v="392"/>
    <x v="1"/>
    <x v="5"/>
    <n v="21100"/>
    <s v="Accounts Payable"/>
    <x v="14"/>
    <s v="99-21100"/>
    <s v="Accounts Payable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C51FF7-B6A8-4AD3-9195-A8C4E5EA4B02}" name="PivotTable7" cacheId="94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A25:G42" firstHeaderRow="1" firstDataRow="2" firstDataCol="1" rowPageCount="1" colPageCount="1"/>
  <pivotFields count="14">
    <pivotField showAll="0"/>
    <pivotField axis="axisPage" multipleItemSelectionAllowed="1" showAll="0">
      <items count="6">
        <item h="1" x="0"/>
        <item h="1" x="2"/>
        <item x="4"/>
        <item h="1" x="1"/>
        <item x="3"/>
        <item t="default"/>
      </items>
    </pivotField>
    <pivotField axis="axisCol" showAll="0">
      <items count="7">
        <item x="0"/>
        <item x="1"/>
        <item x="2"/>
        <item x="3"/>
        <item x="4"/>
        <item x="5"/>
        <item t="default"/>
      </items>
    </pivotField>
    <pivotField showAll="0"/>
    <pivotField showAll="0"/>
    <pivotField axis="axisRow" showAll="0">
      <items count="48">
        <item x="28"/>
        <item x="31"/>
        <item x="33"/>
        <item x="29"/>
        <item x="34"/>
        <item x="0"/>
        <item x="2"/>
        <item x="3"/>
        <item x="43"/>
        <item x="4"/>
        <item x="1"/>
        <item x="44"/>
        <item x="45"/>
        <item x="5"/>
        <item x="7"/>
        <item x="6"/>
        <item x="46"/>
        <item x="8"/>
        <item x="9"/>
        <item x="10"/>
        <item x="11"/>
        <item x="12"/>
        <item x="13"/>
        <item x="35"/>
        <item x="14"/>
        <item x="15"/>
        <item x="19"/>
        <item x="17"/>
        <item x="18"/>
        <item x="20"/>
        <item x="22"/>
        <item x="21"/>
        <item x="23"/>
        <item x="24"/>
        <item x="25"/>
        <item x="26"/>
        <item x="16"/>
        <item x="27"/>
        <item x="36"/>
        <item x="37"/>
        <item x="39"/>
        <item x="40"/>
        <item x="41"/>
        <item x="42"/>
        <item x="32"/>
        <item x="30"/>
        <item x="38"/>
        <item t="default"/>
      </items>
    </pivotField>
    <pivotField showAll="0"/>
    <pivotField showAll="0"/>
    <pivotField numFmtId="43" showAll="0"/>
    <pivotField numFmtId="43" showAll="0"/>
    <pivotField showAll="0"/>
    <pivotField showAll="0"/>
    <pivotField numFmtId="43" showAll="0"/>
    <pivotField dataField="1" numFmtId="43" showAll="0"/>
  </pivotFields>
  <rowFields count="1">
    <field x="5"/>
  </rowFields>
  <rowItems count="16">
    <i>
      <x/>
    </i>
    <i>
      <x v="1"/>
    </i>
    <i>
      <x v="2"/>
    </i>
    <i>
      <x v="3"/>
    </i>
    <i>
      <x v="4"/>
    </i>
    <i>
      <x v="23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1" hier="-1"/>
  </pageFields>
  <dataFields count="1">
    <dataField name="Sum of 2027 Proposed" fld="13" baseField="0" baseItem="0" numFmtId="4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A9DE07-DFCF-49DA-8C22-2F4D437FDE85}" name="PivotTable6" cacheId="94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A3:G20" firstHeaderRow="1" firstDataRow="2" firstDataCol="1" rowPageCount="1" colPageCount="1"/>
  <pivotFields count="14">
    <pivotField showAll="0"/>
    <pivotField axis="axisPage" multipleItemSelectionAllowed="1" showAll="0">
      <items count="6">
        <item h="1" x="0"/>
        <item h="1" x="2"/>
        <item x="4"/>
        <item h="1" x="1"/>
        <item x="3"/>
        <item t="default"/>
      </items>
    </pivotField>
    <pivotField axis="axisCol" showAll="0">
      <items count="7">
        <item x="0"/>
        <item x="1"/>
        <item x="2"/>
        <item x="3"/>
        <item x="4"/>
        <item x="5"/>
        <item t="default"/>
      </items>
    </pivotField>
    <pivotField showAll="0"/>
    <pivotField showAll="0"/>
    <pivotField axis="axisRow" showAll="0">
      <items count="48">
        <item x="28"/>
        <item x="31"/>
        <item x="33"/>
        <item x="29"/>
        <item x="34"/>
        <item x="0"/>
        <item x="2"/>
        <item x="3"/>
        <item x="43"/>
        <item x="4"/>
        <item x="1"/>
        <item x="44"/>
        <item x="45"/>
        <item x="5"/>
        <item x="7"/>
        <item x="6"/>
        <item x="46"/>
        <item x="8"/>
        <item x="9"/>
        <item x="10"/>
        <item x="11"/>
        <item x="12"/>
        <item x="13"/>
        <item x="35"/>
        <item x="14"/>
        <item x="15"/>
        <item x="19"/>
        <item x="17"/>
        <item x="18"/>
        <item x="20"/>
        <item x="22"/>
        <item x="21"/>
        <item x="23"/>
        <item x="24"/>
        <item x="25"/>
        <item x="26"/>
        <item x="16"/>
        <item x="27"/>
        <item x="36"/>
        <item x="37"/>
        <item x="39"/>
        <item x="40"/>
        <item x="41"/>
        <item x="42"/>
        <item x="32"/>
        <item x="30"/>
        <item x="38"/>
        <item t="default"/>
      </items>
    </pivotField>
    <pivotField showAll="0"/>
    <pivotField showAll="0"/>
    <pivotField numFmtId="43" showAll="0"/>
    <pivotField numFmtId="43" showAll="0"/>
    <pivotField showAll="0"/>
    <pivotField showAll="0"/>
    <pivotField dataField="1" numFmtId="43" showAll="0"/>
    <pivotField numFmtId="43" showAll="0"/>
  </pivotFields>
  <rowFields count="1">
    <field x="5"/>
  </rowFields>
  <rowItems count="16">
    <i>
      <x/>
    </i>
    <i>
      <x v="1"/>
    </i>
    <i>
      <x v="2"/>
    </i>
    <i>
      <x v="3"/>
    </i>
    <i>
      <x v="4"/>
    </i>
    <i>
      <x v="23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1" hier="-1"/>
  </pageFields>
  <dataFields count="1">
    <dataField name="Sum of 2026 Amended" fld="12" baseField="5" baseItem="0" numFmtId="43"/>
  </dataFields>
  <formats count="2">
    <format dxfId="2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33FF76-80FA-4FCC-85B0-5FDE001F587E}" name="PivotTable5" cacheId="94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I4:N20" firstHeaderRow="0" firstDataRow="1" firstDataCol="1" rowPageCount="1" colPageCount="1"/>
  <pivotFields count="14">
    <pivotField showAll="0"/>
    <pivotField axis="axisPage" multipleItemSelectionAllowed="1" showAll="0">
      <items count="6">
        <item h="1" x="0"/>
        <item h="1" x="2"/>
        <item x="4"/>
        <item h="1" x="1"/>
        <item x="3"/>
        <item t="default"/>
      </items>
    </pivotField>
    <pivotField showAll="0"/>
    <pivotField showAll="0"/>
    <pivotField showAll="0"/>
    <pivotField axis="axisRow" showAll="0">
      <items count="48">
        <item x="28"/>
        <item x="31"/>
        <item x="33"/>
        <item x="29"/>
        <item x="34"/>
        <item x="0"/>
        <item x="2"/>
        <item x="3"/>
        <item x="43"/>
        <item x="4"/>
        <item x="1"/>
        <item x="44"/>
        <item x="45"/>
        <item x="5"/>
        <item x="7"/>
        <item x="6"/>
        <item x="46"/>
        <item x="8"/>
        <item x="9"/>
        <item x="10"/>
        <item x="11"/>
        <item x="12"/>
        <item x="13"/>
        <item x="35"/>
        <item x="14"/>
        <item x="15"/>
        <item x="19"/>
        <item x="17"/>
        <item x="18"/>
        <item x="20"/>
        <item x="22"/>
        <item x="21"/>
        <item x="23"/>
        <item x="24"/>
        <item x="25"/>
        <item x="26"/>
        <item x="16"/>
        <item x="27"/>
        <item x="36"/>
        <item x="37"/>
        <item x="39"/>
        <item x="40"/>
        <item x="41"/>
        <item x="42"/>
        <item x="32"/>
        <item x="30"/>
        <item x="38"/>
        <item t="default"/>
      </items>
    </pivotField>
    <pivotField showAll="0"/>
    <pivotField showAll="0"/>
    <pivotField dataField="1" numFmtId="43" showAll="0"/>
    <pivotField numFmtId="43" showAll="0"/>
    <pivotField dataField="1" showAll="0"/>
    <pivotField dataField="1" showAll="0"/>
    <pivotField dataField="1" numFmtId="43" showAll="0"/>
    <pivotField dataField="1" numFmtId="43" showAll="0"/>
  </pivotFields>
  <rowFields count="1">
    <field x="5"/>
  </rowFields>
  <rowItems count="16">
    <i>
      <x/>
    </i>
    <i>
      <x v="1"/>
    </i>
    <i>
      <x v="2"/>
    </i>
    <i>
      <x v="3"/>
    </i>
    <i>
      <x v="4"/>
    </i>
    <i>
      <x v="23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1" hier="-1"/>
  </pageFields>
  <dataFields count="5">
    <dataField name="Sum of 2025 Audit" fld="8" baseField="0" baseItem="0" numFmtId="43"/>
    <dataField name="Sum of 2026 Projection" fld="10" baseField="5" baseItem="0" numFmtId="43"/>
    <dataField name="Sum of 2026 Adopted" fld="11" baseField="5" baseItem="0" numFmtId="43"/>
    <dataField name="Sum of 2026 Amended" fld="12" baseField="5" baseItem="0" numFmtId="43"/>
    <dataField name="Sum of 2027 Proposed" fld="13" baseField="5" baseItem="0" numFmtId="43"/>
  </dataFields>
  <formats count="2">
    <format dxfId="29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28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440150-FD95-47C6-9B7E-04E7BE4B758F}" name="PivotTable1" cacheId="88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compact="0" compactData="0" gridDropZones="1" multipleFieldFilters="0">
  <location ref="A4:G23" firstHeaderRow="1" firstDataRow="2" firstDataCol="2" rowPageCount="1" colPageCount="1"/>
  <pivotFields count="11">
    <pivotField axis="axisPage" compact="0" outline="0" multipleItemSelectionAllowed="1" showAll="0">
      <items count="7">
        <item h="1" x="0"/>
        <item h="1" x="2"/>
        <item x="4"/>
        <item h="1" x="1"/>
        <item x="3"/>
        <item h="1" x="5"/>
        <item t="default"/>
      </items>
    </pivotField>
    <pivotField axis="axisCol" compact="0" outline="0" showAll="0" sortType="ascending">
      <items count="12">
        <item m="1" x="6"/>
        <item m="1" x="7"/>
        <item m="1" x="8"/>
        <item m="1" x="9"/>
        <item m="1" x="10"/>
        <item x="0"/>
        <item x="1"/>
        <item x="3"/>
        <item x="4"/>
        <item x="5"/>
        <item x="2"/>
        <item t="default"/>
      </items>
    </pivotField>
    <pivotField axis="axisRow" compact="0" outline="0" showAll="0" sortType="ascending" defaultSubtotal="0">
      <items count="49">
        <item x="43"/>
        <item x="28"/>
        <item x="31"/>
        <item x="33"/>
        <item x="29"/>
        <item x="34"/>
        <item x="35"/>
        <item x="36"/>
        <item x="37"/>
        <item x="39"/>
        <item x="40"/>
        <item x="41"/>
        <item x="42"/>
        <item x="32"/>
        <item x="30"/>
        <item x="38"/>
        <item x="0"/>
        <item x="1"/>
        <item x="2"/>
        <item x="3"/>
        <item x="45"/>
        <item x="4"/>
        <item x="44"/>
        <item x="46"/>
        <item x="47"/>
        <item x="5"/>
        <item x="7"/>
        <item x="6"/>
        <item x="48"/>
        <item x="8"/>
        <item x="9"/>
        <item x="10"/>
        <item x="11"/>
        <item x="12"/>
        <item x="13"/>
        <item x="14"/>
        <item x="15"/>
        <item x="17"/>
        <item x="18"/>
        <item x="20"/>
        <item x="22"/>
        <item x="21"/>
        <item x="23"/>
        <item x="24"/>
        <item x="25"/>
        <item x="26"/>
        <item x="16"/>
        <item x="27"/>
        <item x="19"/>
      </items>
    </pivotField>
    <pivotField axis="axisRow" compact="0" outline="0" showAll="0">
      <items count="50">
        <item x="38"/>
        <item x="42"/>
        <item x="28"/>
        <item x="39"/>
        <item x="41"/>
        <item x="33"/>
        <item x="43"/>
        <item x="36"/>
        <item x="29"/>
        <item x="40"/>
        <item x="30"/>
        <item x="31"/>
        <item x="32"/>
        <item x="37"/>
        <item x="35"/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0"/>
        <item x="21"/>
        <item x="22"/>
        <item x="23"/>
        <item x="24"/>
        <item x="25"/>
        <item x="26"/>
        <item x="27"/>
        <item x="34"/>
        <item x="44"/>
        <item x="45"/>
        <item x="46"/>
        <item x="47"/>
        <item x="48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numFmtId="43" outline="0" showAll="0"/>
    <pivotField compact="0" outline="0" showAll="0"/>
    <pivotField compact="0" outline="0" showAll="0"/>
  </pivotFields>
  <rowFields count="2">
    <field x="2"/>
    <field x="3"/>
  </rowFields>
  <rowItems count="18">
    <i>
      <x/>
      <x v="43"/>
    </i>
    <i>
      <x v="1"/>
      <x v="2"/>
    </i>
    <i>
      <x v="2"/>
      <x v="11"/>
    </i>
    <i>
      <x v="3"/>
      <x v="5"/>
    </i>
    <i>
      <x v="4"/>
      <x v="8"/>
    </i>
    <i>
      <x v="5"/>
      <x v="14"/>
    </i>
    <i>
      <x v="6"/>
      <x v="7"/>
    </i>
    <i>
      <x v="7"/>
      <x v="13"/>
    </i>
    <i>
      <x v="8"/>
      <x/>
    </i>
    <i>
      <x v="9"/>
      <x v="9"/>
    </i>
    <i>
      <x v="10"/>
      <x v="4"/>
    </i>
    <i>
      <x v="11"/>
      <x v="1"/>
    </i>
    <i>
      <x v="12"/>
      <x v="6"/>
    </i>
    <i>
      <x v="13"/>
      <x v="12"/>
    </i>
    <i>
      <x v="14"/>
      <x v="10"/>
    </i>
    <i>
      <x v="15"/>
      <x v="3"/>
    </i>
    <i>
      <x v="48"/>
      <x v="43"/>
    </i>
    <i t="grand">
      <x/>
    </i>
  </rowItems>
  <colFields count="1">
    <field x="1"/>
  </colFields>
  <colItems count="5">
    <i>
      <x v="5"/>
    </i>
    <i>
      <x v="6"/>
    </i>
    <i>
      <x v="7"/>
    </i>
    <i>
      <x v="8"/>
    </i>
    <i>
      <x v="9"/>
    </i>
  </colItems>
  <pageFields count="1">
    <pageField fld="0" hier="-1"/>
  </pageFields>
  <dataFields count="1">
    <dataField name="Sum of 2024 Amended" fld="8" baseField="3" baseItem="14" numFmtId="43"/>
  </dataFields>
  <formats count="18">
    <format dxfId="47">
      <pivotArea dataOnly="0" labelOnly="1" outline="0" fieldPosition="0">
        <references count="1">
          <reference field="1" count="0"/>
        </references>
      </pivotArea>
    </format>
    <format dxfId="46">
      <pivotArea dataOnly="0" labelOnly="1" grandCol="1" outline="0" fieldPosition="0"/>
    </format>
    <format dxfId="45">
      <pivotArea field="2" type="button" dataOnly="0" labelOnly="1" outline="0" axis="axisRow" fieldPosition="0"/>
    </format>
    <format dxfId="44">
      <pivotArea field="3" type="button" dataOnly="0" labelOnly="1" outline="0" axis="axisRow" fieldPosition="1"/>
    </format>
    <format dxfId="43">
      <pivotArea dataOnly="0" labelOnly="1" outline="0" fieldPosition="0">
        <references count="1">
          <reference field="1" count="0"/>
        </references>
      </pivotArea>
    </format>
    <format dxfId="42">
      <pivotArea dataOnly="0" labelOnly="1" grandCol="1" outline="0" fieldPosition="0"/>
    </format>
    <format dxfId="41">
      <pivotArea dataOnly="0" labelOnly="1" outline="0" fieldPosition="0">
        <references count="1">
          <reference field="1" count="0"/>
        </references>
      </pivotArea>
    </format>
    <format dxfId="40">
      <pivotArea dataOnly="0" labelOnly="1" grandCol="1" outline="0" fieldPosition="0"/>
    </format>
    <format dxfId="39">
      <pivotArea grandRow="1" outline="0" collapsedLevelsAreSubtotals="1" fieldPosition="0"/>
    </format>
    <format dxfId="38">
      <pivotArea dataOnly="0" labelOnly="1" grandRow="1" outline="0" fieldPosition="0"/>
    </format>
    <format dxfId="37">
      <pivotArea grandRow="1" outline="0" collapsedLevelsAreSubtotals="1" fieldPosition="0"/>
    </format>
    <format dxfId="36">
      <pivotArea dataOnly="0" labelOnly="1" grandRow="1" outline="0" fieldPosition="0"/>
    </format>
    <format dxfId="35">
      <pivotArea grandRow="1" outline="0" collapsedLevelsAreSubtotals="1" fieldPosition="0"/>
    </format>
    <format dxfId="34">
      <pivotArea field="1" type="button" dataOnly="0" labelOnly="1" outline="0" axis="axisCol" fieldPosition="0"/>
    </format>
    <format dxfId="33">
      <pivotArea type="topRight" dataOnly="0" labelOnly="1" outline="0" fieldPosition="0"/>
    </format>
    <format dxfId="32">
      <pivotArea field="1" type="button" dataOnly="0" labelOnly="1" outline="0" axis="axisCol" fieldPosition="0"/>
    </format>
    <format dxfId="31">
      <pivotArea type="topRight" dataOnly="0" labelOnly="1" outline="0" fieldPosition="0"/>
    </format>
    <format dxfId="3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32" dT="2022-04-14T23:44:06.44" personId="{BF88EEBF-2796-4DF7-BB15-3784953D5858}" id="{47364B3B-A012-48A0-A3A2-BB82D4BAA36B}">
    <text>Formula Adjustment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N32" dT="2022-04-14T23:44:06.44" personId="{BF88EEBF-2796-4DF7-BB15-3784953D5858}" id="{31883E3B-1D6B-434B-ACEB-46909CCDDE23}">
    <text>Formula Adjustment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ivotTable" Target="../pivotTables/pivotTable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DE1DD-2733-4A62-898A-0E025AF022AE}">
  <sheetPr>
    <tabColor theme="3" tint="0.59999389629810485"/>
    <pageSetUpPr fitToPage="1"/>
  </sheetPr>
  <dimension ref="A1:AW41"/>
  <sheetViews>
    <sheetView zoomScale="115" zoomScaleNormal="115" zoomScaleSheetLayoutView="120" workbookViewId="0">
      <pane xSplit="3" ySplit="5" topLeftCell="AL6" activePane="bottomRight" state="frozen"/>
      <selection activeCell="B2" sqref="B2"/>
      <selection pane="topRight" activeCell="B2" sqref="B2"/>
      <selection pane="bottomLeft" activeCell="B2" sqref="B2"/>
      <selection pane="bottomRight" activeCell="AL6" sqref="AL6"/>
    </sheetView>
  </sheetViews>
  <sheetFormatPr defaultColWidth="8.85546875" defaultRowHeight="15.75" x14ac:dyDescent="0.25"/>
  <cols>
    <col min="1" max="1" width="13.7109375" style="207" bestFit="1" customWidth="1"/>
    <col min="2" max="2" width="46.140625" style="207" customWidth="1"/>
    <col min="3" max="3" width="1.5703125" style="207" customWidth="1"/>
    <col min="4" max="4" width="15" style="207" hidden="1" customWidth="1"/>
    <col min="5" max="5" width="1.5703125" style="207" hidden="1" customWidth="1"/>
    <col min="6" max="6" width="14.42578125" style="208" hidden="1" customWidth="1"/>
    <col min="7" max="7" width="1.5703125" style="207" hidden="1" customWidth="1"/>
    <col min="8" max="8" width="14.42578125" style="208" hidden="1" customWidth="1"/>
    <col min="9" max="9" width="1.5703125" style="207" hidden="1" customWidth="1"/>
    <col min="10" max="10" width="14" style="207" hidden="1" customWidth="1"/>
    <col min="11" max="11" width="1.5703125" style="207" hidden="1" customWidth="1"/>
    <col min="12" max="12" width="14" style="207" hidden="1" customWidth="1"/>
    <col min="13" max="13" width="1.5703125" style="207" hidden="1" customWidth="1"/>
    <col min="14" max="14" width="14" style="207" hidden="1" customWidth="1"/>
    <col min="15" max="15" width="1.5703125" style="207" hidden="1" customWidth="1"/>
    <col min="16" max="16" width="14" style="207" hidden="1" customWidth="1"/>
    <col min="17" max="17" width="1.5703125" style="207" hidden="1" customWidth="1"/>
    <col min="18" max="18" width="14" style="207" hidden="1" customWidth="1"/>
    <col min="19" max="19" width="1.5703125" style="207" hidden="1" customWidth="1"/>
    <col min="20" max="20" width="14" style="207" hidden="1" customWidth="1"/>
    <col min="21" max="21" width="1.5703125" style="207" hidden="1" customWidth="1"/>
    <col min="22" max="22" width="14" style="207" hidden="1" customWidth="1"/>
    <col min="23" max="23" width="1.5703125" style="207" hidden="1" customWidth="1"/>
    <col min="24" max="24" width="14" style="207" hidden="1" customWidth="1"/>
    <col min="25" max="25" width="1.5703125" style="207" hidden="1" customWidth="1"/>
    <col min="26" max="26" width="14" style="207" hidden="1" customWidth="1"/>
    <col min="27" max="27" width="1.5703125" style="207" hidden="1" customWidth="1"/>
    <col min="28" max="28" width="14" style="207" hidden="1" customWidth="1"/>
    <col min="29" max="29" width="1.5703125" style="207" hidden="1" customWidth="1"/>
    <col min="30" max="30" width="14" style="207" hidden="1" customWidth="1"/>
    <col min="31" max="31" width="1.5703125" style="207" hidden="1" customWidth="1"/>
    <col min="32" max="32" width="14" style="207" hidden="1" customWidth="1"/>
    <col min="33" max="33" width="1.5703125" style="207" hidden="1" customWidth="1"/>
    <col min="34" max="34" width="14" style="207" hidden="1" customWidth="1"/>
    <col min="35" max="35" width="1.5703125" style="207" hidden="1" customWidth="1"/>
    <col min="36" max="36" width="14.28515625" style="207" hidden="1" customWidth="1"/>
    <col min="37" max="37" width="1.5703125" style="207" hidden="1" customWidth="1"/>
    <col min="38" max="38" width="14.28515625" style="207" customWidth="1"/>
    <col min="39" max="39" width="1.5703125" style="207" customWidth="1"/>
    <col min="40" max="40" width="14.42578125" style="207" bestFit="1" customWidth="1"/>
    <col min="41" max="41" width="1.5703125" style="207" customWidth="1"/>
    <col min="42" max="42" width="14.42578125" style="207" bestFit="1" customWidth="1"/>
    <col min="43" max="43" width="1.5703125" style="207" customWidth="1"/>
    <col min="44" max="44" width="14.42578125" style="207" bestFit="1" customWidth="1"/>
    <col min="45" max="45" width="1.5703125" style="207" customWidth="1"/>
    <col min="46" max="46" width="14.42578125" style="207" bestFit="1" customWidth="1"/>
    <col min="47" max="47" width="1.5703125" style="207" customWidth="1"/>
    <col min="48" max="48" width="14.42578125" style="207" bestFit="1" customWidth="1"/>
    <col min="49" max="49" width="1.5703125" style="207" customWidth="1"/>
    <col min="50" max="16384" width="8.85546875" style="207"/>
  </cols>
  <sheetData>
    <row r="1" spans="1:49" x14ac:dyDescent="0.25">
      <c r="A1" s="206"/>
      <c r="B1" s="207" t="s">
        <v>1221</v>
      </c>
    </row>
    <row r="2" spans="1:49" x14ac:dyDescent="0.25">
      <c r="A2" s="206"/>
      <c r="B2" s="207" t="s">
        <v>1197</v>
      </c>
    </row>
    <row r="3" spans="1:49" x14ac:dyDescent="0.25">
      <c r="A3" s="206"/>
    </row>
    <row r="4" spans="1:49" x14ac:dyDescent="0.25">
      <c r="A4" s="206"/>
      <c r="D4" s="209"/>
      <c r="E4" s="209"/>
      <c r="F4" s="210" t="s">
        <v>36</v>
      </c>
      <c r="G4" s="209"/>
      <c r="H4" s="210" t="s">
        <v>37</v>
      </c>
      <c r="I4" s="209"/>
      <c r="J4" s="210" t="s">
        <v>1198</v>
      </c>
      <c r="L4" s="210"/>
      <c r="N4" s="210" t="s">
        <v>1199</v>
      </c>
      <c r="P4" s="210">
        <v>2020</v>
      </c>
      <c r="R4" s="210">
        <v>2021</v>
      </c>
      <c r="T4" s="210">
        <v>2021</v>
      </c>
      <c r="V4" s="210" t="s">
        <v>1200</v>
      </c>
      <c r="X4" s="210" t="s">
        <v>1201</v>
      </c>
      <c r="Z4" s="210" t="s">
        <v>1202</v>
      </c>
      <c r="AB4" s="210">
        <v>2022</v>
      </c>
      <c r="AD4" s="210" t="s">
        <v>1203</v>
      </c>
      <c r="AF4" s="210" t="s">
        <v>1204</v>
      </c>
      <c r="AH4" s="210" t="s">
        <v>1205</v>
      </c>
      <c r="AJ4" s="210" t="s">
        <v>1026</v>
      </c>
      <c r="AL4" s="210" t="s">
        <v>0</v>
      </c>
      <c r="AN4" s="210" t="s">
        <v>939</v>
      </c>
      <c r="AP4" s="210" t="s">
        <v>940</v>
      </c>
      <c r="AR4" s="210" t="s">
        <v>941</v>
      </c>
      <c r="AT4" s="210" t="s">
        <v>942</v>
      </c>
      <c r="AV4" s="210" t="s">
        <v>943</v>
      </c>
    </row>
    <row r="5" spans="1:49" x14ac:dyDescent="0.25">
      <c r="A5" s="206"/>
      <c r="D5" s="211" t="s">
        <v>38</v>
      </c>
      <c r="E5" s="209"/>
      <c r="F5" s="211" t="s">
        <v>3</v>
      </c>
      <c r="G5" s="209"/>
      <c r="H5" s="211" t="s">
        <v>3</v>
      </c>
      <c r="I5" s="209"/>
      <c r="J5" s="211" t="s">
        <v>3</v>
      </c>
      <c r="L5" s="211" t="s">
        <v>1206</v>
      </c>
      <c r="N5" s="211" t="s">
        <v>3</v>
      </c>
      <c r="P5" s="211" t="s">
        <v>1</v>
      </c>
      <c r="R5" s="211" t="s">
        <v>2</v>
      </c>
      <c r="T5" s="211" t="s">
        <v>1</v>
      </c>
      <c r="V5" s="211" t="s">
        <v>3</v>
      </c>
      <c r="X5" s="211" t="s">
        <v>3</v>
      </c>
      <c r="Z5" s="211" t="s">
        <v>3</v>
      </c>
      <c r="AB5" s="211" t="s">
        <v>2</v>
      </c>
      <c r="AD5" s="211" t="s">
        <v>3</v>
      </c>
      <c r="AF5" s="211" t="s">
        <v>3</v>
      </c>
      <c r="AH5" s="211" t="s">
        <v>3</v>
      </c>
      <c r="AJ5" s="211" t="s">
        <v>3</v>
      </c>
      <c r="AL5" s="211" t="s">
        <v>3</v>
      </c>
      <c r="AN5" s="211" t="s">
        <v>3</v>
      </c>
      <c r="AP5" s="211" t="s">
        <v>3</v>
      </c>
      <c r="AR5" s="211" t="s">
        <v>3</v>
      </c>
      <c r="AT5" s="211" t="s">
        <v>3</v>
      </c>
      <c r="AV5" s="211" t="s">
        <v>3</v>
      </c>
    </row>
    <row r="6" spans="1:49" x14ac:dyDescent="0.25">
      <c r="A6" s="206"/>
      <c r="D6" s="208"/>
    </row>
    <row r="7" spans="1:49" x14ac:dyDescent="0.25">
      <c r="A7" s="212" t="s">
        <v>4</v>
      </c>
      <c r="B7" s="213" t="s">
        <v>5</v>
      </c>
      <c r="D7" s="208"/>
    </row>
    <row r="8" spans="1:49" x14ac:dyDescent="0.25">
      <c r="A8" s="206">
        <v>30</v>
      </c>
      <c r="B8" s="214" t="s">
        <v>6</v>
      </c>
      <c r="D8" s="215">
        <v>1277132</v>
      </c>
      <c r="E8" s="216"/>
      <c r="F8" s="215">
        <v>1617868</v>
      </c>
      <c r="G8" s="216"/>
      <c r="H8" s="215">
        <v>-11400</v>
      </c>
      <c r="I8" s="216"/>
      <c r="J8" s="215">
        <v>62917</v>
      </c>
      <c r="L8" s="215">
        <v>1733125</v>
      </c>
      <c r="N8" s="215">
        <v>45600</v>
      </c>
      <c r="P8" s="215">
        <v>4347358</v>
      </c>
      <c r="R8" s="215">
        <v>4820274</v>
      </c>
      <c r="T8" s="215">
        <v>2661964</v>
      </c>
      <c r="V8" s="215">
        <v>2318848.0100000002</v>
      </c>
      <c r="X8" s="215">
        <v>2562717.52</v>
      </c>
      <c r="Z8" s="215">
        <v>2342823.21</v>
      </c>
      <c r="AB8" s="215">
        <v>5355860</v>
      </c>
      <c r="AD8" s="215">
        <v>2730600</v>
      </c>
      <c r="AF8" s="215">
        <v>2855000</v>
      </c>
      <c r="AH8" s="215">
        <v>2973022.7349999999</v>
      </c>
      <c r="AJ8" s="215">
        <v>3484700</v>
      </c>
      <c r="AL8" s="215">
        <v>3794980</v>
      </c>
      <c r="AN8" s="215">
        <v>3094980</v>
      </c>
      <c r="AP8" s="215">
        <v>3494980</v>
      </c>
      <c r="AR8" s="215">
        <v>3484700</v>
      </c>
      <c r="AT8" s="215">
        <v>4792700</v>
      </c>
      <c r="AV8" s="215">
        <v>4341802.32</v>
      </c>
    </row>
    <row r="9" spans="1:49" x14ac:dyDescent="0.25">
      <c r="A9" s="206">
        <v>40</v>
      </c>
      <c r="B9" s="214" t="s">
        <v>7</v>
      </c>
      <c r="D9" s="216"/>
      <c r="E9" s="216"/>
      <c r="F9" s="216"/>
      <c r="G9" s="216"/>
      <c r="H9" s="216"/>
      <c r="I9" s="216"/>
      <c r="J9" s="216">
        <v>0</v>
      </c>
      <c r="K9" s="216"/>
      <c r="L9" s="216">
        <v>0</v>
      </c>
      <c r="M9" s="216"/>
      <c r="N9" s="216">
        <v>0</v>
      </c>
      <c r="O9" s="216"/>
      <c r="P9" s="216">
        <v>775</v>
      </c>
      <c r="Q9" s="216"/>
      <c r="R9" s="216">
        <v>0</v>
      </c>
      <c r="S9" s="216"/>
      <c r="T9" s="216">
        <v>1431</v>
      </c>
      <c r="U9" s="216"/>
      <c r="V9" s="216">
        <v>0</v>
      </c>
      <c r="W9" s="216"/>
      <c r="X9" s="216">
        <v>1400</v>
      </c>
      <c r="Y9" s="216"/>
      <c r="Z9" s="216">
        <v>1000</v>
      </c>
      <c r="AA9" s="216"/>
      <c r="AB9" s="216">
        <v>0</v>
      </c>
      <c r="AC9" s="216"/>
      <c r="AD9" s="216">
        <v>1000</v>
      </c>
      <c r="AE9" s="216"/>
      <c r="AF9" s="216">
        <v>2000</v>
      </c>
      <c r="AG9" s="216"/>
      <c r="AH9" s="216">
        <v>2510.25</v>
      </c>
      <c r="AI9" s="216"/>
      <c r="AJ9" s="216">
        <v>1300</v>
      </c>
      <c r="AK9" s="216"/>
      <c r="AL9" s="216">
        <v>1300</v>
      </c>
      <c r="AM9" s="216"/>
      <c r="AN9" s="216">
        <v>1300</v>
      </c>
      <c r="AO9" s="216"/>
      <c r="AP9" s="216">
        <v>1300</v>
      </c>
      <c r="AQ9" s="216"/>
      <c r="AR9" s="216">
        <v>1300</v>
      </c>
      <c r="AS9" s="216"/>
      <c r="AT9" s="216">
        <v>1300</v>
      </c>
      <c r="AU9" s="216"/>
      <c r="AV9" s="216">
        <v>1300</v>
      </c>
      <c r="AW9" s="216"/>
    </row>
    <row r="10" spans="1:49" x14ac:dyDescent="0.25">
      <c r="A10" s="206"/>
      <c r="B10" s="214"/>
      <c r="D10" s="217">
        <v>1277132</v>
      </c>
      <c r="E10" s="216"/>
      <c r="F10" s="217">
        <v>1617868</v>
      </c>
      <c r="G10" s="216"/>
      <c r="H10" s="217">
        <v>-11400</v>
      </c>
      <c r="I10" s="216"/>
      <c r="J10" s="217">
        <v>62917</v>
      </c>
      <c r="L10" s="217">
        <v>1733125</v>
      </c>
      <c r="N10" s="217">
        <v>45600</v>
      </c>
      <c r="P10" s="217">
        <v>4348133</v>
      </c>
      <c r="R10" s="217">
        <v>4820274</v>
      </c>
      <c r="T10" s="217">
        <v>2663395</v>
      </c>
      <c r="V10" s="217">
        <v>2318848.0100000002</v>
      </c>
      <c r="X10" s="217">
        <v>2564117.52</v>
      </c>
      <c r="Z10" s="217">
        <v>2343823.21</v>
      </c>
      <c r="AB10" s="217">
        <v>5355860</v>
      </c>
      <c r="AD10" s="217">
        <v>2731600</v>
      </c>
      <c r="AF10" s="217">
        <v>2857000</v>
      </c>
      <c r="AH10" s="217">
        <v>2975532.9849999999</v>
      </c>
      <c r="AJ10" s="217">
        <v>3486000</v>
      </c>
      <c r="AL10" s="217">
        <v>3796280</v>
      </c>
      <c r="AN10" s="217">
        <v>3096280</v>
      </c>
      <c r="AP10" s="217">
        <v>4794000</v>
      </c>
      <c r="AR10" s="217">
        <v>3486000</v>
      </c>
      <c r="AT10" s="217">
        <v>4794000</v>
      </c>
      <c r="AV10" s="217">
        <v>4343102.32</v>
      </c>
    </row>
    <row r="11" spans="1:49" x14ac:dyDescent="0.25">
      <c r="A11" s="206"/>
      <c r="D11" s="216"/>
      <c r="E11" s="216"/>
      <c r="F11" s="216"/>
      <c r="G11" s="216"/>
      <c r="H11" s="216"/>
      <c r="I11" s="216"/>
      <c r="J11" s="216"/>
      <c r="L11" s="216"/>
      <c r="N11" s="216"/>
      <c r="P11" s="216"/>
      <c r="R11" s="216"/>
      <c r="T11" s="216"/>
      <c r="V11" s="216"/>
      <c r="X11" s="216"/>
      <c r="Z11" s="216"/>
      <c r="AB11" s="216"/>
      <c r="AD11" s="216"/>
      <c r="AF11" s="216"/>
      <c r="AH11" s="216"/>
      <c r="AJ11" s="216"/>
      <c r="AL11" s="216"/>
      <c r="AN11" s="216"/>
      <c r="AP11" s="216"/>
      <c r="AR11" s="216"/>
      <c r="AT11" s="216"/>
      <c r="AV11" s="216"/>
    </row>
    <row r="12" spans="1:49" x14ac:dyDescent="0.25">
      <c r="A12" s="206"/>
      <c r="B12" s="213" t="s">
        <v>8</v>
      </c>
      <c r="D12" s="216"/>
      <c r="E12" s="216"/>
      <c r="F12" s="216"/>
      <c r="G12" s="216"/>
      <c r="H12" s="216"/>
      <c r="I12" s="216"/>
      <c r="J12" s="216"/>
      <c r="N12" s="216"/>
      <c r="V12" s="216"/>
      <c r="X12" s="216"/>
      <c r="Z12" s="216"/>
      <c r="AD12" s="216"/>
      <c r="AF12" s="216"/>
      <c r="AH12" s="216"/>
      <c r="AJ12" s="216"/>
      <c r="AL12" s="216"/>
      <c r="AN12" s="216"/>
      <c r="AP12" s="216"/>
      <c r="AR12" s="216"/>
      <c r="AT12" s="216"/>
      <c r="AV12" s="216"/>
    </row>
    <row r="13" spans="1:49" x14ac:dyDescent="0.25">
      <c r="A13" s="206">
        <v>100</v>
      </c>
      <c r="B13" s="214" t="s">
        <v>9</v>
      </c>
      <c r="D13" s="216">
        <v>538876</v>
      </c>
      <c r="E13" s="216"/>
      <c r="F13" s="216">
        <v>703532</v>
      </c>
      <c r="G13" s="216"/>
      <c r="H13" s="216">
        <v>247460</v>
      </c>
      <c r="I13" s="216"/>
      <c r="J13" s="216">
        <v>62460</v>
      </c>
      <c r="L13" s="216">
        <v>794102</v>
      </c>
      <c r="N13" s="216">
        <v>17180.669999999998</v>
      </c>
      <c r="P13" s="216">
        <v>2451155</v>
      </c>
      <c r="R13" s="216">
        <v>2715723.5999999996</v>
      </c>
      <c r="T13" s="216">
        <v>1107697</v>
      </c>
      <c r="V13" s="216">
        <v>1200143.6299999999</v>
      </c>
      <c r="X13" s="216">
        <v>1279237.0733333332</v>
      </c>
      <c r="Z13" s="216">
        <v>1364359.72</v>
      </c>
      <c r="AB13" s="216">
        <v>3017470.6666666665</v>
      </c>
      <c r="AD13" s="216">
        <v>1366380.7799999998</v>
      </c>
      <c r="AF13" s="216">
        <v>1802542.0151139998</v>
      </c>
      <c r="AH13" s="216">
        <v>1965129.7951139999</v>
      </c>
      <c r="AJ13" s="216">
        <v>2863446.4716986893</v>
      </c>
      <c r="AL13" s="216">
        <v>2453643.04</v>
      </c>
      <c r="AN13" s="216">
        <v>2277235.3558212505</v>
      </c>
      <c r="AP13" s="216">
        <v>2342334.4058212503</v>
      </c>
      <c r="AR13" s="216">
        <v>2863446.4716986893</v>
      </c>
      <c r="AT13" s="216">
        <v>3122407.4735610401</v>
      </c>
      <c r="AV13" s="216">
        <v>3119493.7569780196</v>
      </c>
    </row>
    <row r="14" spans="1:49" x14ac:dyDescent="0.25">
      <c r="A14" s="206">
        <v>200</v>
      </c>
      <c r="B14" s="214" t="s">
        <v>10</v>
      </c>
      <c r="D14" s="216">
        <v>278958</v>
      </c>
      <c r="E14" s="216"/>
      <c r="F14" s="216">
        <v>526999</v>
      </c>
      <c r="G14" s="216"/>
      <c r="H14" s="216">
        <v>47273</v>
      </c>
      <c r="I14" s="216"/>
      <c r="J14" s="216">
        <v>31994</v>
      </c>
      <c r="L14" s="216">
        <v>385622</v>
      </c>
      <c r="N14" s="216">
        <v>-103976</v>
      </c>
      <c r="P14" s="216">
        <v>960311</v>
      </c>
      <c r="R14" s="216">
        <v>782660.39999999991</v>
      </c>
      <c r="T14" s="216">
        <v>472530</v>
      </c>
      <c r="V14" s="216">
        <v>559776.66999999993</v>
      </c>
      <c r="X14" s="216">
        <v>648275.84333333327</v>
      </c>
      <c r="Z14" s="216">
        <v>551614.11</v>
      </c>
      <c r="AB14" s="216">
        <v>869622.66666666674</v>
      </c>
      <c r="AD14" s="216">
        <v>776411.44</v>
      </c>
      <c r="AF14" s="216">
        <v>591272.11</v>
      </c>
      <c r="AH14" s="216">
        <v>662560.03</v>
      </c>
      <c r="AJ14" s="216">
        <v>1044960.91</v>
      </c>
      <c r="AL14" s="216">
        <v>847867</v>
      </c>
      <c r="AN14" s="216">
        <v>793644.88</v>
      </c>
      <c r="AP14" s="216">
        <v>1125414.93</v>
      </c>
      <c r="AR14" s="216">
        <v>1044960.91</v>
      </c>
      <c r="AT14" s="216">
        <v>1188011.51</v>
      </c>
      <c r="AV14" s="216">
        <v>1170860.49</v>
      </c>
    </row>
    <row r="15" spans="1:49" x14ac:dyDescent="0.25">
      <c r="A15" s="206">
        <v>500</v>
      </c>
      <c r="B15" s="214" t="s">
        <v>11</v>
      </c>
      <c r="D15" s="216">
        <v>119175</v>
      </c>
      <c r="E15" s="216"/>
      <c r="F15" s="216">
        <v>0</v>
      </c>
      <c r="G15" s="216"/>
      <c r="H15" s="216">
        <v>298100</v>
      </c>
      <c r="I15" s="216"/>
      <c r="J15" s="216">
        <v>682646</v>
      </c>
      <c r="L15" s="216">
        <v>72629</v>
      </c>
      <c r="N15" s="216">
        <v>763727</v>
      </c>
      <c r="P15" s="216">
        <v>248740</v>
      </c>
      <c r="R15" s="216">
        <v>208657.19999999998</v>
      </c>
      <c r="T15" s="216">
        <v>150498</v>
      </c>
      <c r="V15" s="216">
        <v>142150</v>
      </c>
      <c r="X15" s="216">
        <v>196900</v>
      </c>
      <c r="Z15" s="216">
        <v>143150</v>
      </c>
      <c r="AB15" s="216">
        <v>231841.33333333331</v>
      </c>
      <c r="AD15" s="216">
        <v>164950</v>
      </c>
      <c r="AF15" s="216">
        <v>148950</v>
      </c>
      <c r="AH15" s="216">
        <v>147624.77499999999</v>
      </c>
      <c r="AJ15" s="216">
        <v>254200</v>
      </c>
      <c r="AL15" s="216">
        <v>249200</v>
      </c>
      <c r="AN15" s="216">
        <v>235500</v>
      </c>
      <c r="AP15" s="216">
        <v>285200</v>
      </c>
      <c r="AR15" s="216">
        <v>254200</v>
      </c>
      <c r="AT15" s="216">
        <v>285770</v>
      </c>
      <c r="AV15" s="216">
        <v>264350</v>
      </c>
    </row>
    <row r="16" spans="1:49" x14ac:dyDescent="0.25">
      <c r="A16" s="206">
        <v>700</v>
      </c>
      <c r="B16" s="214" t="s">
        <v>12</v>
      </c>
      <c r="D16" s="216">
        <v>244207</v>
      </c>
      <c r="E16" s="216"/>
      <c r="F16" s="216">
        <v>247094</v>
      </c>
      <c r="G16" s="216"/>
      <c r="H16" s="216">
        <v>1300</v>
      </c>
      <c r="I16" s="216"/>
      <c r="J16" s="216">
        <v>34600</v>
      </c>
      <c r="L16" s="216">
        <v>339893</v>
      </c>
      <c r="N16" s="216">
        <v>3000</v>
      </c>
      <c r="P16" s="216">
        <v>450618</v>
      </c>
      <c r="R16" s="216">
        <v>225309.59999999998</v>
      </c>
      <c r="T16" s="216">
        <v>367933</v>
      </c>
      <c r="V16" s="216">
        <v>339500</v>
      </c>
      <c r="X16" s="216">
        <v>354690</v>
      </c>
      <c r="Z16" s="216">
        <v>355000</v>
      </c>
      <c r="AB16" s="216">
        <v>250344</v>
      </c>
      <c r="AD16" s="216">
        <v>365000</v>
      </c>
      <c r="AF16" s="216">
        <v>365000</v>
      </c>
      <c r="AH16" s="216">
        <v>337000</v>
      </c>
      <c r="AJ16" s="216">
        <v>310882</v>
      </c>
      <c r="AL16" s="216">
        <v>330882</v>
      </c>
      <c r="AN16" s="216">
        <v>310882</v>
      </c>
      <c r="AP16" s="216">
        <v>330882</v>
      </c>
      <c r="AR16" s="216">
        <v>310882</v>
      </c>
      <c r="AT16" s="216">
        <v>310882</v>
      </c>
      <c r="AV16" s="216">
        <v>310882</v>
      </c>
    </row>
    <row r="17" spans="1:48" x14ac:dyDescent="0.25">
      <c r="A17" s="206">
        <v>600</v>
      </c>
      <c r="B17" s="214" t="s">
        <v>13</v>
      </c>
      <c r="D17" s="218">
        <v>58095</v>
      </c>
      <c r="E17" s="218"/>
      <c r="F17" s="218">
        <v>0</v>
      </c>
      <c r="G17" s="218"/>
      <c r="H17" s="218">
        <v>-10400</v>
      </c>
      <c r="I17" s="218"/>
      <c r="J17" s="218">
        <v>-60000</v>
      </c>
      <c r="L17" s="218">
        <v>171</v>
      </c>
      <c r="N17" s="218">
        <v>-60000</v>
      </c>
      <c r="P17" s="218">
        <v>0</v>
      </c>
      <c r="R17" s="218">
        <v>0</v>
      </c>
      <c r="T17" s="218">
        <v>0</v>
      </c>
      <c r="V17" s="218">
        <v>0</v>
      </c>
      <c r="X17" s="218">
        <v>0</v>
      </c>
      <c r="Z17" s="218">
        <v>0</v>
      </c>
      <c r="AB17" s="218">
        <v>0</v>
      </c>
      <c r="AD17" s="218"/>
      <c r="AF17" s="218"/>
      <c r="AH17" s="218">
        <v>0</v>
      </c>
      <c r="AJ17" s="218">
        <v>0</v>
      </c>
      <c r="AL17" s="218">
        <v>0</v>
      </c>
      <c r="AN17" s="218">
        <v>0</v>
      </c>
      <c r="AP17" s="218">
        <v>0</v>
      </c>
      <c r="AR17" s="218">
        <v>0</v>
      </c>
      <c r="AT17" s="218">
        <v>0</v>
      </c>
      <c r="AV17" s="218">
        <v>0</v>
      </c>
    </row>
    <row r="18" spans="1:48" x14ac:dyDescent="0.25">
      <c r="A18" s="206"/>
      <c r="B18" s="219" t="s">
        <v>14</v>
      </c>
      <c r="D18" s="217">
        <v>1239311</v>
      </c>
      <c r="E18" s="216"/>
      <c r="F18" s="217">
        <v>1477625</v>
      </c>
      <c r="G18" s="216"/>
      <c r="H18" s="217">
        <v>583733</v>
      </c>
      <c r="I18" s="216"/>
      <c r="J18" s="217">
        <v>751700</v>
      </c>
      <c r="L18" s="217">
        <v>1592417</v>
      </c>
      <c r="N18" s="217">
        <v>619931.67000000004</v>
      </c>
      <c r="P18" s="217">
        <v>4110824</v>
      </c>
      <c r="R18" s="217">
        <v>3932350.8</v>
      </c>
      <c r="T18" s="217">
        <v>2098658</v>
      </c>
      <c r="V18" s="217">
        <v>2241570.2999999998</v>
      </c>
      <c r="X18" s="217">
        <v>2479102.9166666665</v>
      </c>
      <c r="Z18" s="217">
        <v>2414123.83</v>
      </c>
      <c r="AB18" s="217">
        <v>4369278.666666666</v>
      </c>
      <c r="AD18" s="217">
        <v>2672742.2199999997</v>
      </c>
      <c r="AF18" s="217">
        <v>2907764.1251139999</v>
      </c>
      <c r="AH18" s="217">
        <v>3112314.6001139996</v>
      </c>
      <c r="AJ18" s="217">
        <v>4473489.3816986894</v>
      </c>
      <c r="AL18" s="217">
        <v>3881592.04</v>
      </c>
      <c r="AN18" s="217">
        <v>3617262.2358212504</v>
      </c>
      <c r="AP18" s="217">
        <v>4907070.9835610399</v>
      </c>
      <c r="AR18" s="217">
        <v>4473489.3816986894</v>
      </c>
      <c r="AT18" s="217">
        <v>4907070.9835610399</v>
      </c>
      <c r="AV18" s="217">
        <v>4865586.2469780194</v>
      </c>
    </row>
    <row r="19" spans="1:48" x14ac:dyDescent="0.25">
      <c r="A19" s="206"/>
      <c r="B19" s="220" t="s">
        <v>15</v>
      </c>
      <c r="D19" s="216">
        <v>37821</v>
      </c>
      <c r="E19" s="216"/>
      <c r="F19" s="216">
        <v>140243</v>
      </c>
      <c r="G19" s="216"/>
      <c r="H19" s="216">
        <v>-595133</v>
      </c>
      <c r="I19" s="216"/>
      <c r="J19" s="216">
        <v>-688783</v>
      </c>
      <c r="L19" s="216">
        <v>140708</v>
      </c>
      <c r="N19" s="216">
        <v>-574331.67000000004</v>
      </c>
      <c r="P19" s="216">
        <v>237309</v>
      </c>
      <c r="R19" s="216">
        <v>887923.20000000019</v>
      </c>
      <c r="T19" s="216">
        <v>564737</v>
      </c>
      <c r="V19" s="216">
        <v>77277.710000000428</v>
      </c>
      <c r="X19" s="216">
        <v>85014.603333333507</v>
      </c>
      <c r="Z19" s="216">
        <v>-70300.620000000112</v>
      </c>
      <c r="AB19" s="216">
        <v>986581.33333333395</v>
      </c>
      <c r="AD19" s="216">
        <v>58857.780000000261</v>
      </c>
      <c r="AF19" s="216">
        <v>-50764.125113999937</v>
      </c>
      <c r="AH19" s="216">
        <v>-136781.61511399969</v>
      </c>
      <c r="AJ19" s="216">
        <v>-987489.38169868942</v>
      </c>
      <c r="AL19" s="216">
        <v>-85312.040000000037</v>
      </c>
      <c r="AN19" s="216">
        <v>-520982.23582125036</v>
      </c>
      <c r="AP19" s="216">
        <v>-113070.9835610399</v>
      </c>
      <c r="AR19" s="216">
        <v>-987489.38169868942</v>
      </c>
      <c r="AT19" s="216">
        <v>-113070.9835610399</v>
      </c>
      <c r="AV19" s="216">
        <v>-522483.92697801907</v>
      </c>
    </row>
    <row r="20" spans="1:48" x14ac:dyDescent="0.25">
      <c r="A20" s="206"/>
      <c r="D20" s="216"/>
      <c r="E20" s="216"/>
      <c r="F20" s="216"/>
      <c r="G20" s="216"/>
      <c r="H20" s="216"/>
      <c r="I20" s="216"/>
      <c r="J20" s="216"/>
      <c r="L20" s="216"/>
      <c r="N20" s="216"/>
      <c r="P20" s="216"/>
      <c r="R20" s="216"/>
      <c r="T20" s="216"/>
      <c r="V20" s="216"/>
      <c r="X20" s="216"/>
      <c r="Z20" s="216"/>
      <c r="AB20" s="216"/>
      <c r="AD20" s="216"/>
      <c r="AF20" s="216"/>
      <c r="AH20" s="216"/>
      <c r="AJ20" s="216"/>
      <c r="AL20" s="216"/>
      <c r="AN20" s="216"/>
      <c r="AP20" s="216"/>
      <c r="AR20" s="216"/>
      <c r="AT20" s="216"/>
      <c r="AV20" s="216"/>
    </row>
    <row r="21" spans="1:48" x14ac:dyDescent="0.25">
      <c r="A21" s="206"/>
      <c r="B21" s="213" t="s">
        <v>16</v>
      </c>
      <c r="D21" s="216"/>
      <c r="E21" s="216"/>
      <c r="F21" s="216"/>
      <c r="G21" s="216"/>
      <c r="H21" s="216"/>
      <c r="I21" s="216"/>
      <c r="J21" s="216"/>
      <c r="L21" s="216"/>
      <c r="N21" s="216"/>
      <c r="P21" s="216"/>
      <c r="R21" s="216"/>
      <c r="T21" s="216"/>
      <c r="V21" s="216"/>
      <c r="X21" s="216"/>
      <c r="Z21" s="216"/>
      <c r="AB21" s="216"/>
      <c r="AD21" s="216"/>
      <c r="AF21" s="216"/>
      <c r="AH21" s="216"/>
      <c r="AJ21" s="216"/>
      <c r="AL21" s="216"/>
      <c r="AN21" s="216"/>
      <c r="AP21" s="216"/>
      <c r="AR21" s="216"/>
      <c r="AT21" s="216"/>
      <c r="AV21" s="216"/>
    </row>
    <row r="22" spans="1:48" x14ac:dyDescent="0.25">
      <c r="A22" s="206">
        <v>950</v>
      </c>
      <c r="B22" s="214" t="s">
        <v>17</v>
      </c>
      <c r="D22" s="216">
        <v>160986</v>
      </c>
      <c r="E22" s="216"/>
      <c r="F22" s="216">
        <v>145000</v>
      </c>
      <c r="G22" s="216"/>
      <c r="H22" s="216">
        <v>-65</v>
      </c>
      <c r="I22" s="216"/>
      <c r="J22" s="216">
        <v>-50</v>
      </c>
      <c r="L22" s="216">
        <v>168294</v>
      </c>
      <c r="N22" s="216">
        <v>-50</v>
      </c>
      <c r="P22" s="216">
        <v>205354</v>
      </c>
      <c r="R22" s="216">
        <v>166404</v>
      </c>
      <c r="T22" s="216">
        <v>179064</v>
      </c>
      <c r="V22" s="216">
        <v>160000</v>
      </c>
      <c r="X22" s="216">
        <v>160000</v>
      </c>
      <c r="Z22" s="216">
        <v>160000</v>
      </c>
      <c r="AB22" s="216">
        <v>180000</v>
      </c>
      <c r="AD22" s="216">
        <v>160000</v>
      </c>
      <c r="AF22" s="216">
        <v>165000</v>
      </c>
      <c r="AH22" s="216">
        <v>165000</v>
      </c>
      <c r="AJ22" s="216">
        <v>165000</v>
      </c>
      <c r="AL22" s="216">
        <v>165000</v>
      </c>
      <c r="AN22" s="216">
        <v>165000</v>
      </c>
      <c r="AP22" s="216">
        <v>165000</v>
      </c>
      <c r="AR22" s="216">
        <v>165000</v>
      </c>
      <c r="AT22" s="216">
        <v>165000</v>
      </c>
      <c r="AV22" s="216">
        <v>165000</v>
      </c>
    </row>
    <row r="23" spans="1:48" x14ac:dyDescent="0.25">
      <c r="A23" s="206">
        <v>60</v>
      </c>
      <c r="B23" s="214" t="s">
        <v>18</v>
      </c>
      <c r="D23" s="216">
        <v>62080</v>
      </c>
      <c r="E23" s="216"/>
      <c r="F23" s="216">
        <v>15000</v>
      </c>
      <c r="G23" s="216"/>
      <c r="H23" s="216">
        <v>-2400</v>
      </c>
      <c r="I23" s="216"/>
      <c r="J23" s="216">
        <v>-9000</v>
      </c>
      <c r="L23" s="216">
        <v>66305</v>
      </c>
      <c r="N23" s="216">
        <v>-9000</v>
      </c>
      <c r="P23" s="216">
        <v>436435</v>
      </c>
      <c r="R23" s="216">
        <v>175648.8</v>
      </c>
      <c r="T23" s="216">
        <v>18200</v>
      </c>
      <c r="V23" s="216">
        <v>15000</v>
      </c>
      <c r="X23" s="216">
        <v>15000</v>
      </c>
      <c r="Z23" s="216">
        <v>15000</v>
      </c>
      <c r="AB23" s="216">
        <v>195165.33333333331</v>
      </c>
      <c r="AD23" s="216">
        <v>15000</v>
      </c>
      <c r="AF23" s="216">
        <v>20000</v>
      </c>
      <c r="AH23" s="216">
        <v>18013.900000000001</v>
      </c>
      <c r="AJ23" s="216">
        <v>15000</v>
      </c>
      <c r="AL23" s="216">
        <v>15000</v>
      </c>
      <c r="AN23" s="216">
        <v>15000</v>
      </c>
      <c r="AP23" s="216">
        <v>15000</v>
      </c>
      <c r="AR23" s="216">
        <v>15000</v>
      </c>
      <c r="AT23" s="216">
        <v>15000</v>
      </c>
      <c r="AV23" s="216">
        <v>15000</v>
      </c>
    </row>
    <row r="24" spans="1:48" x14ac:dyDescent="0.25">
      <c r="A24" s="206">
        <v>960</v>
      </c>
      <c r="B24" s="214" t="s">
        <v>19</v>
      </c>
      <c r="D24" s="218">
        <v>45267</v>
      </c>
      <c r="E24" s="218"/>
      <c r="F24" s="218">
        <v>8500</v>
      </c>
      <c r="G24" s="218"/>
      <c r="H24" s="218">
        <v>375400</v>
      </c>
      <c r="I24" s="218"/>
      <c r="J24" s="218">
        <v>522000</v>
      </c>
      <c r="L24" s="218">
        <v>108661</v>
      </c>
      <c r="N24" s="218">
        <v>500000</v>
      </c>
      <c r="P24" s="218">
        <v>10009291</v>
      </c>
      <c r="R24" s="218">
        <v>46628.399999999994</v>
      </c>
      <c r="T24" s="218">
        <v>131030</v>
      </c>
      <c r="V24" s="218">
        <v>25200</v>
      </c>
      <c r="X24" s="218">
        <v>25200</v>
      </c>
      <c r="Z24" s="218">
        <v>25200</v>
      </c>
      <c r="AB24" s="218">
        <v>51809.333333333328</v>
      </c>
      <c r="AD24" s="218">
        <v>66000</v>
      </c>
      <c r="AF24" s="218">
        <v>79000</v>
      </c>
      <c r="AH24" s="218">
        <v>181209.84</v>
      </c>
      <c r="AJ24" s="218">
        <v>189000</v>
      </c>
      <c r="AL24" s="218">
        <v>379000</v>
      </c>
      <c r="AN24" s="218">
        <v>379000</v>
      </c>
      <c r="AP24" s="218">
        <v>379000</v>
      </c>
      <c r="AR24" s="218">
        <v>189000</v>
      </c>
      <c r="AT24" s="218">
        <v>203000</v>
      </c>
      <c r="AV24" s="218">
        <v>202000</v>
      </c>
    </row>
    <row r="25" spans="1:48" x14ac:dyDescent="0.25">
      <c r="A25" s="206">
        <v>70</v>
      </c>
      <c r="B25" s="214" t="s">
        <v>20</v>
      </c>
      <c r="D25" s="216">
        <v>0</v>
      </c>
      <c r="E25" s="216"/>
      <c r="F25" s="216">
        <v>0</v>
      </c>
      <c r="G25" s="216"/>
      <c r="H25" s="216">
        <v>0</v>
      </c>
      <c r="I25" s="216"/>
      <c r="J25" s="216">
        <v>-2000</v>
      </c>
      <c r="L25" s="216">
        <v>27282</v>
      </c>
      <c r="N25" s="216">
        <v>-2000</v>
      </c>
      <c r="P25" s="216">
        <v>19533</v>
      </c>
      <c r="R25" s="216">
        <v>15018</v>
      </c>
      <c r="T25" s="216">
        <v>-7496</v>
      </c>
      <c r="V25" s="216">
        <v>94000</v>
      </c>
      <c r="X25" s="216">
        <v>118900</v>
      </c>
      <c r="Z25" s="216">
        <v>100000</v>
      </c>
      <c r="AB25" s="216">
        <v>3100000</v>
      </c>
      <c r="AD25" s="216">
        <v>100000</v>
      </c>
      <c r="AF25" s="216">
        <v>165000</v>
      </c>
      <c r="AH25" s="216">
        <v>10846000</v>
      </c>
      <c r="AJ25" s="216">
        <v>3850000</v>
      </c>
      <c r="AL25" s="216">
        <v>9040000</v>
      </c>
      <c r="AN25" s="216">
        <v>12040000</v>
      </c>
      <c r="AP25" s="216">
        <v>12040000</v>
      </c>
      <c r="AR25" s="216">
        <v>3850000</v>
      </c>
      <c r="AT25" s="216">
        <v>2729841.59</v>
      </c>
      <c r="AV25" s="216">
        <v>1515250</v>
      </c>
    </row>
    <row r="26" spans="1:48" x14ac:dyDescent="0.25">
      <c r="A26" s="206"/>
      <c r="B26" s="214" t="s">
        <v>21</v>
      </c>
      <c r="D26" s="218"/>
      <c r="E26" s="218"/>
      <c r="F26" s="218"/>
      <c r="G26" s="218"/>
      <c r="H26" s="218"/>
      <c r="I26" s="218"/>
      <c r="J26" s="218"/>
      <c r="L26" s="218">
        <v>-940</v>
      </c>
      <c r="N26" s="218"/>
      <c r="P26" s="218">
        <v>0</v>
      </c>
      <c r="R26" s="218">
        <v>-2784627.5999999996</v>
      </c>
      <c r="T26" s="218">
        <v>-11032</v>
      </c>
      <c r="V26" s="218"/>
      <c r="X26" s="218"/>
      <c r="Z26" s="218">
        <v>0</v>
      </c>
      <c r="AB26" s="218"/>
      <c r="AD26" s="218">
        <v>0</v>
      </c>
      <c r="AF26" s="218">
        <v>0</v>
      </c>
      <c r="AH26" s="218">
        <v>0</v>
      </c>
      <c r="AJ26" s="218">
        <v>0</v>
      </c>
      <c r="AL26" s="218">
        <v>0</v>
      </c>
      <c r="AN26" s="218">
        <v>0</v>
      </c>
      <c r="AP26" s="218">
        <v>0</v>
      </c>
      <c r="AR26" s="218">
        <v>0</v>
      </c>
      <c r="AT26" s="218">
        <v>0</v>
      </c>
      <c r="AV26" s="218">
        <v>0</v>
      </c>
    </row>
    <row r="27" spans="1:48" x14ac:dyDescent="0.25">
      <c r="A27" s="206">
        <v>710</v>
      </c>
      <c r="B27" s="214" t="s">
        <v>1222</v>
      </c>
      <c r="D27" s="218"/>
      <c r="E27" s="218"/>
      <c r="F27" s="218"/>
      <c r="G27" s="218"/>
      <c r="H27" s="218"/>
      <c r="I27" s="218"/>
      <c r="J27" s="218">
        <v>0</v>
      </c>
      <c r="L27" s="218">
        <v>0</v>
      </c>
      <c r="N27" s="218">
        <v>0</v>
      </c>
      <c r="P27" s="218">
        <v>-39296</v>
      </c>
      <c r="R27" s="218">
        <v>0</v>
      </c>
      <c r="T27" s="218">
        <v>0</v>
      </c>
      <c r="V27" s="218">
        <v>0</v>
      </c>
      <c r="X27" s="218">
        <v>0</v>
      </c>
      <c r="Z27" s="218">
        <v>0</v>
      </c>
      <c r="AB27" s="218">
        <v>-6841000</v>
      </c>
      <c r="AD27" s="218">
        <v>-1611000</v>
      </c>
      <c r="AF27" s="218">
        <v>0</v>
      </c>
      <c r="AH27" s="218">
        <v>0</v>
      </c>
      <c r="AJ27" s="218">
        <v>0</v>
      </c>
      <c r="AL27" s="218">
        <v>0</v>
      </c>
      <c r="AN27" s="218">
        <v>0</v>
      </c>
      <c r="AP27" s="218">
        <v>0</v>
      </c>
      <c r="AR27" s="218">
        <v>0</v>
      </c>
      <c r="AT27" s="218">
        <v>0</v>
      </c>
      <c r="AV27" s="218">
        <v>0</v>
      </c>
    </row>
    <row r="28" spans="1:48" x14ac:dyDescent="0.25">
      <c r="A28" s="206">
        <v>620</v>
      </c>
      <c r="B28" s="214" t="s">
        <v>23</v>
      </c>
      <c r="D28" s="216">
        <v>-137305</v>
      </c>
      <c r="E28" s="216"/>
      <c r="F28" s="216">
        <v>-458875</v>
      </c>
      <c r="G28" s="216"/>
      <c r="H28" s="218"/>
      <c r="I28" s="216"/>
      <c r="J28" s="216">
        <v>-17450</v>
      </c>
      <c r="L28" s="216">
        <v>-126266</v>
      </c>
      <c r="N28" s="216">
        <v>-133574</v>
      </c>
      <c r="P28" s="216">
        <v>-41359</v>
      </c>
      <c r="R28" s="216">
        <v>-103910</v>
      </c>
      <c r="T28" s="216">
        <v>-90634</v>
      </c>
      <c r="V28" s="216">
        <v>-103910</v>
      </c>
      <c r="X28" s="216">
        <v>-77910</v>
      </c>
      <c r="Z28" s="216">
        <v>-101125.38</v>
      </c>
      <c r="AB28" s="216">
        <v>85000</v>
      </c>
      <c r="AD28" s="216">
        <v>-95110</v>
      </c>
      <c r="AF28" s="216">
        <v>-86589</v>
      </c>
      <c r="AH28" s="216">
        <v>-86589</v>
      </c>
      <c r="AJ28" s="216">
        <v>-164178</v>
      </c>
      <c r="AL28" s="216">
        <v>-164178</v>
      </c>
      <c r="AN28" s="216">
        <v>-164178</v>
      </c>
      <c r="AP28" s="216">
        <v>-164178</v>
      </c>
      <c r="AR28" s="216">
        <v>-164178</v>
      </c>
      <c r="AT28" s="216">
        <v>-164178</v>
      </c>
      <c r="AV28" s="216">
        <v>-164178</v>
      </c>
    </row>
    <row r="29" spans="1:48" ht="21" customHeight="1" x14ac:dyDescent="0.25">
      <c r="A29" s="206"/>
      <c r="B29" s="219" t="s">
        <v>24</v>
      </c>
      <c r="D29" s="221">
        <v>131028</v>
      </c>
      <c r="E29" s="216"/>
      <c r="F29" s="221">
        <v>-290375</v>
      </c>
      <c r="G29" s="216"/>
      <c r="H29" s="221">
        <v>372935</v>
      </c>
      <c r="I29" s="216"/>
      <c r="J29" s="221">
        <v>493500</v>
      </c>
      <c r="L29" s="221">
        <v>243336</v>
      </c>
      <c r="N29" s="221">
        <v>355376</v>
      </c>
      <c r="P29" s="221">
        <v>10589958</v>
      </c>
      <c r="R29" s="221">
        <v>-2484838.3999999994</v>
      </c>
      <c r="T29" s="221">
        <v>219132</v>
      </c>
      <c r="V29" s="221">
        <v>190290</v>
      </c>
      <c r="X29" s="221">
        <v>241190</v>
      </c>
      <c r="Z29" s="221">
        <v>199074.62</v>
      </c>
      <c r="AB29" s="221">
        <v>-3229025.3333333335</v>
      </c>
      <c r="AD29" s="221">
        <v>-1365110</v>
      </c>
      <c r="AF29" s="221">
        <v>342411</v>
      </c>
      <c r="AH29" s="221">
        <v>11123634.74</v>
      </c>
      <c r="AJ29" s="221">
        <v>4054822</v>
      </c>
      <c r="AL29" s="221">
        <v>9434822</v>
      </c>
      <c r="AN29" s="221">
        <v>12434822</v>
      </c>
      <c r="AP29" s="221">
        <v>2948663.59</v>
      </c>
      <c r="AR29" s="221">
        <v>4054822</v>
      </c>
      <c r="AT29" s="221">
        <v>2948663.59</v>
      </c>
      <c r="AV29" s="221">
        <v>1733072</v>
      </c>
    </row>
    <row r="30" spans="1:48" ht="21" customHeight="1" thickBot="1" x14ac:dyDescent="0.3">
      <c r="A30" s="206"/>
      <c r="B30" s="220" t="s">
        <v>25</v>
      </c>
      <c r="D30" s="222">
        <v>168849</v>
      </c>
      <c r="E30" s="216"/>
      <c r="F30" s="222">
        <v>-150132</v>
      </c>
      <c r="G30" s="216"/>
      <c r="H30" s="222">
        <v>-222198</v>
      </c>
      <c r="I30" s="216"/>
      <c r="J30" s="222">
        <v>-195283</v>
      </c>
      <c r="L30" s="222">
        <v>384044</v>
      </c>
      <c r="N30" s="222">
        <v>-218955.67000000004</v>
      </c>
      <c r="P30" s="222">
        <v>10827267</v>
      </c>
      <c r="R30" s="222">
        <v>-1596915.1999999993</v>
      </c>
      <c r="T30" s="222">
        <v>783869</v>
      </c>
      <c r="V30" s="222">
        <v>267567.71000000043</v>
      </c>
      <c r="X30" s="222">
        <v>326204.60333333351</v>
      </c>
      <c r="Z30" s="222">
        <v>128773.99999999988</v>
      </c>
      <c r="AB30" s="222">
        <v>-2242443.9999999995</v>
      </c>
      <c r="AD30" s="222">
        <v>-1306252.2199999997</v>
      </c>
      <c r="AF30" s="222">
        <v>291646.87488600006</v>
      </c>
      <c r="AH30" s="222">
        <v>10986853.124886001</v>
      </c>
      <c r="AJ30" s="222">
        <v>3067332.6183013106</v>
      </c>
      <c r="AL30" s="222">
        <v>9349509.9600000009</v>
      </c>
      <c r="AN30" s="222">
        <v>11913839.764178749</v>
      </c>
      <c r="AP30" s="222">
        <v>2835592.6064389599</v>
      </c>
      <c r="AR30" s="222">
        <v>3067332.6183013106</v>
      </c>
      <c r="AT30" s="222">
        <v>2835592.6064389599</v>
      </c>
      <c r="AV30" s="222">
        <v>1210588.0730219809</v>
      </c>
    </row>
    <row r="31" spans="1:48" ht="16.5" thickTop="1" x14ac:dyDescent="0.25">
      <c r="A31" s="206"/>
      <c r="B31" s="220"/>
      <c r="D31" s="223"/>
      <c r="E31" s="216"/>
      <c r="F31" s="223"/>
      <c r="G31" s="216"/>
      <c r="H31" s="223"/>
      <c r="I31" s="216"/>
      <c r="J31" s="223"/>
      <c r="L31" s="223"/>
      <c r="N31" s="223"/>
      <c r="P31" s="223"/>
      <c r="R31" s="223"/>
      <c r="T31" s="223"/>
      <c r="V31" s="223"/>
      <c r="X31" s="223"/>
      <c r="Z31" s="223"/>
      <c r="AB31" s="223"/>
      <c r="AD31" s="223"/>
      <c r="AF31" s="223"/>
      <c r="AH31" s="223"/>
      <c r="AJ31" s="223"/>
      <c r="AL31" s="223"/>
      <c r="AN31" s="223"/>
      <c r="AP31" s="223"/>
      <c r="AR31" s="223"/>
      <c r="AT31" s="223"/>
      <c r="AV31" s="223"/>
    </row>
    <row r="32" spans="1:48" x14ac:dyDescent="0.25">
      <c r="A32" s="206"/>
      <c r="B32" s="213" t="s">
        <v>1223</v>
      </c>
      <c r="D32" s="216"/>
      <c r="E32" s="216"/>
      <c r="F32" s="216"/>
      <c r="G32" s="216"/>
      <c r="H32" s="216"/>
      <c r="I32" s="216"/>
      <c r="J32" s="216"/>
      <c r="L32" s="216"/>
      <c r="N32" s="216"/>
      <c r="P32" s="216"/>
      <c r="R32" s="216"/>
      <c r="T32" s="216"/>
      <c r="V32" s="216"/>
      <c r="X32" s="216"/>
      <c r="Z32" s="216"/>
      <c r="AB32" s="216"/>
      <c r="AD32" s="216"/>
      <c r="AF32" s="216"/>
      <c r="AH32" s="216"/>
      <c r="AJ32" s="216"/>
      <c r="AL32" s="216"/>
      <c r="AN32" s="216"/>
      <c r="AP32" s="216"/>
      <c r="AR32" s="216"/>
      <c r="AT32" s="216"/>
      <c r="AV32" s="216"/>
    </row>
    <row r="33" spans="1:49" x14ac:dyDescent="0.25">
      <c r="A33" s="206"/>
      <c r="B33" s="214" t="s">
        <v>26</v>
      </c>
      <c r="D33" s="216">
        <v>380755</v>
      </c>
      <c r="E33" s="216"/>
      <c r="F33" s="216">
        <v>0</v>
      </c>
      <c r="G33" s="216"/>
      <c r="H33" s="216">
        <v>253118</v>
      </c>
      <c r="I33" s="216"/>
      <c r="J33" s="216">
        <v>223974.71</v>
      </c>
      <c r="L33" s="216">
        <v>-418975</v>
      </c>
      <c r="N33" s="216">
        <v>418497.76</v>
      </c>
      <c r="P33" s="216">
        <v>418975</v>
      </c>
      <c r="R33" s="216">
        <v>435628</v>
      </c>
      <c r="T33" s="216">
        <v>435628</v>
      </c>
      <c r="V33" s="216">
        <v>421691.93</v>
      </c>
      <c r="X33" s="216">
        <v>435628.32</v>
      </c>
      <c r="Z33" s="216">
        <v>410870.97</v>
      </c>
      <c r="AB33" s="216">
        <v>435628</v>
      </c>
      <c r="AD33" s="216">
        <v>410871</v>
      </c>
      <c r="AF33" s="216">
        <v>401116</v>
      </c>
      <c r="AH33" s="218">
        <v>-401116.1</v>
      </c>
      <c r="AJ33" s="216">
        <v>0</v>
      </c>
      <c r="AL33" s="216">
        <v>0</v>
      </c>
      <c r="AN33" s="216">
        <v>421312</v>
      </c>
      <c r="AP33" s="216">
        <v>0</v>
      </c>
      <c r="AR33" s="216">
        <v>-366133.20999999996</v>
      </c>
      <c r="AT33" s="216">
        <v>-366133.20999999996</v>
      </c>
      <c r="AV33" s="216">
        <v>-162531.4</v>
      </c>
    </row>
    <row r="34" spans="1:49" x14ac:dyDescent="0.25">
      <c r="A34" s="206">
        <v>710</v>
      </c>
      <c r="B34" s="214" t="s">
        <v>22</v>
      </c>
      <c r="D34" s="216">
        <v>1702811</v>
      </c>
      <c r="E34" s="216"/>
      <c r="F34" s="216">
        <v>5000</v>
      </c>
      <c r="G34" s="216"/>
      <c r="H34" s="216">
        <v>18200</v>
      </c>
      <c r="I34" s="216"/>
      <c r="J34" s="216">
        <v>1250000</v>
      </c>
      <c r="L34" s="216">
        <v>-587232</v>
      </c>
      <c r="N34" s="216">
        <v>0</v>
      </c>
      <c r="P34" s="216">
        <v>833496</v>
      </c>
      <c r="R34" s="216">
        <v>0</v>
      </c>
      <c r="T34" s="216">
        <v>0</v>
      </c>
      <c r="V34" s="216">
        <v>0</v>
      </c>
      <c r="X34" s="216">
        <v>0</v>
      </c>
      <c r="Z34" s="216">
        <v>0</v>
      </c>
      <c r="AB34" s="216">
        <v>0</v>
      </c>
      <c r="AD34" s="216">
        <v>234000</v>
      </c>
      <c r="AF34" s="216">
        <v>4281000</v>
      </c>
      <c r="AH34" s="218">
        <v>-10398000</v>
      </c>
      <c r="AJ34" s="216">
        <v>-5255000</v>
      </c>
      <c r="AL34" s="216">
        <v>-9706000</v>
      </c>
      <c r="AN34" s="216">
        <v>-29381000</v>
      </c>
      <c r="AP34" s="216">
        <v>-10415500</v>
      </c>
      <c r="AR34" s="216">
        <v>-5255000</v>
      </c>
      <c r="AT34" s="216">
        <v>-6025000</v>
      </c>
      <c r="AV34" s="216">
        <v>-3249000</v>
      </c>
    </row>
    <row r="35" spans="1:49" ht="21" customHeight="1" thickBot="1" x14ac:dyDescent="0.3">
      <c r="A35" s="206"/>
      <c r="B35" s="219" t="s">
        <v>27</v>
      </c>
      <c r="D35" s="222">
        <v>2083566</v>
      </c>
      <c r="E35" s="216"/>
      <c r="F35" s="222">
        <v>5000</v>
      </c>
      <c r="G35" s="216"/>
      <c r="H35" s="222">
        <v>271318</v>
      </c>
      <c r="I35" s="216"/>
      <c r="J35" s="222">
        <v>1473974.71</v>
      </c>
      <c r="L35" s="222">
        <v>-1006207</v>
      </c>
      <c r="N35" s="222">
        <v>418497.76</v>
      </c>
      <c r="P35" s="222">
        <v>1252471</v>
      </c>
      <c r="R35" s="222">
        <v>435628</v>
      </c>
      <c r="T35" s="222">
        <v>435628</v>
      </c>
      <c r="V35" s="222">
        <v>421691.93</v>
      </c>
      <c r="X35" s="222">
        <v>435628.32</v>
      </c>
      <c r="Z35" s="222">
        <v>410870.97</v>
      </c>
      <c r="AB35" s="222">
        <v>435628</v>
      </c>
      <c r="AD35" s="222">
        <v>644871</v>
      </c>
      <c r="AF35" s="222">
        <v>4682116</v>
      </c>
      <c r="AH35" s="222">
        <v>-10799116.1</v>
      </c>
      <c r="AJ35" s="222">
        <v>-5255000</v>
      </c>
      <c r="AL35" s="222">
        <v>-9706000</v>
      </c>
      <c r="AN35" s="222">
        <v>-28959688</v>
      </c>
      <c r="AP35" s="222">
        <v>-6391133.21</v>
      </c>
      <c r="AR35" s="222">
        <v>-5621133.21</v>
      </c>
      <c r="AT35" s="222">
        <v>-6391133.21</v>
      </c>
      <c r="AV35" s="222">
        <v>-3411531.4</v>
      </c>
    </row>
    <row r="36" spans="1:49" ht="16.5" thickTop="1" x14ac:dyDescent="0.25">
      <c r="A36" s="206"/>
      <c r="B36" s="220"/>
      <c r="D36" s="223"/>
      <c r="E36" s="216"/>
      <c r="F36" s="223"/>
      <c r="G36" s="216"/>
      <c r="H36" s="223"/>
      <c r="I36" s="216"/>
      <c r="J36" s="223"/>
      <c r="L36" s="223"/>
      <c r="N36" s="223"/>
      <c r="P36" s="223"/>
      <c r="R36" s="223"/>
      <c r="T36" s="223"/>
      <c r="V36" s="223"/>
      <c r="X36" s="223"/>
      <c r="Z36" s="223"/>
      <c r="AB36" s="223"/>
      <c r="AD36" s="223"/>
      <c r="AF36" s="223"/>
      <c r="AH36" s="223"/>
      <c r="AJ36" s="223"/>
      <c r="AL36" s="223"/>
      <c r="AN36" s="223"/>
      <c r="AP36" s="223"/>
      <c r="AR36" s="223"/>
      <c r="AT36" s="223"/>
      <c r="AV36" s="223"/>
    </row>
    <row r="37" spans="1:49" x14ac:dyDescent="0.25">
      <c r="A37" s="206"/>
      <c r="B37" s="213" t="s">
        <v>28</v>
      </c>
      <c r="C37" s="223"/>
      <c r="D37" s="223">
        <v>-1914717</v>
      </c>
      <c r="E37" s="223"/>
      <c r="F37" s="223">
        <v>-155132</v>
      </c>
      <c r="G37" s="223"/>
      <c r="H37" s="223">
        <v>-493516</v>
      </c>
      <c r="I37" s="223"/>
      <c r="J37" s="223">
        <v>-1669257.71</v>
      </c>
      <c r="K37" s="223"/>
      <c r="L37" s="223">
        <v>-622163</v>
      </c>
      <c r="M37" s="223"/>
      <c r="N37" s="223">
        <v>-637453.43000000005</v>
      </c>
      <c r="O37" s="223"/>
      <c r="P37" s="223">
        <v>9574796</v>
      </c>
      <c r="Q37" s="223"/>
      <c r="R37" s="223">
        <v>-2032543.1999999993</v>
      </c>
      <c r="S37" s="223"/>
      <c r="T37" s="223">
        <v>348241</v>
      </c>
      <c r="U37" s="223"/>
      <c r="V37" s="223">
        <v>-154124.21999999956</v>
      </c>
      <c r="W37" s="223"/>
      <c r="X37" s="223">
        <v>-109423.7166666665</v>
      </c>
      <c r="Y37" s="223"/>
      <c r="Z37" s="223">
        <v>-282096.97000000009</v>
      </c>
      <c r="AA37" s="223"/>
      <c r="AB37" s="223">
        <v>-2678071.9999999995</v>
      </c>
      <c r="AC37" s="223"/>
      <c r="AD37" s="223">
        <v>-1951123.2199999997</v>
      </c>
      <c r="AE37" s="223"/>
      <c r="AF37" s="223">
        <v>-4390469.1251139995</v>
      </c>
      <c r="AG37" s="223"/>
      <c r="AH37" s="223">
        <v>187737.0248860009</v>
      </c>
      <c r="AI37" s="223"/>
      <c r="AJ37" s="223">
        <v>-2187667.3816986894</v>
      </c>
      <c r="AK37" s="223"/>
      <c r="AL37" s="223">
        <v>-356490.03999999911</v>
      </c>
      <c r="AM37" s="223"/>
      <c r="AN37" s="223">
        <v>-17045848.235821251</v>
      </c>
      <c r="AO37" s="223"/>
      <c r="AP37" s="223">
        <v>-3555540.60356104</v>
      </c>
      <c r="AQ37" s="223"/>
      <c r="AR37" s="223">
        <v>-2553800.5916986894</v>
      </c>
      <c r="AS37" s="223"/>
      <c r="AT37" s="223">
        <v>-3555540.60356104</v>
      </c>
      <c r="AU37" s="223"/>
      <c r="AV37" s="223">
        <v>-2200943.326978019</v>
      </c>
      <c r="AW37" s="223"/>
    </row>
    <row r="38" spans="1:49" x14ac:dyDescent="0.25">
      <c r="A38" s="206"/>
      <c r="B38" s="213" t="s">
        <v>1207</v>
      </c>
      <c r="C38" s="223"/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/>
      <c r="AH38" s="223"/>
      <c r="AI38" s="223"/>
      <c r="AJ38" s="218">
        <v>0</v>
      </c>
      <c r="AK38" s="218"/>
      <c r="AL38" s="218">
        <v>0</v>
      </c>
      <c r="AM38" s="218"/>
      <c r="AN38" s="218">
        <v>14000000</v>
      </c>
      <c r="AO38" s="218"/>
      <c r="AP38" s="218">
        <v>3000000</v>
      </c>
      <c r="AQ38" s="218"/>
      <c r="AR38" s="218">
        <v>0</v>
      </c>
      <c r="AS38" s="218"/>
      <c r="AT38" s="218">
        <v>0</v>
      </c>
      <c r="AU38" s="218"/>
      <c r="AV38" s="218">
        <v>0</v>
      </c>
      <c r="AW38" s="218"/>
    </row>
    <row r="39" spans="1:49" x14ac:dyDescent="0.25">
      <c r="A39" s="206"/>
      <c r="B39" s="213" t="s">
        <v>29</v>
      </c>
      <c r="C39" s="223"/>
      <c r="D39" s="218">
        <v>1914717</v>
      </c>
      <c r="E39" s="218"/>
      <c r="F39" s="218">
        <v>155132</v>
      </c>
      <c r="G39" s="218"/>
      <c r="H39" s="218">
        <v>493516</v>
      </c>
      <c r="I39" s="218"/>
      <c r="J39" s="218">
        <v>1669257.71</v>
      </c>
      <c r="K39" s="218"/>
      <c r="L39" s="218">
        <v>622163</v>
      </c>
      <c r="M39" s="218"/>
      <c r="N39" s="218">
        <v>637453.43000000005</v>
      </c>
      <c r="O39" s="218"/>
      <c r="P39" s="218">
        <v>-9574796</v>
      </c>
      <c r="Q39" s="218"/>
      <c r="R39" s="218">
        <v>2032543.1999999993</v>
      </c>
      <c r="S39" s="218"/>
      <c r="T39" s="218">
        <v>-348241</v>
      </c>
      <c r="U39" s="218"/>
      <c r="V39" s="218">
        <v>154124.21999999956</v>
      </c>
      <c r="W39" s="223"/>
      <c r="X39" s="218">
        <v>109423.7166666665</v>
      </c>
      <c r="Y39" s="218"/>
      <c r="Z39" s="218">
        <v>282096.97000000009</v>
      </c>
      <c r="AA39" s="223"/>
      <c r="AB39" s="218">
        <v>2678071.9999999995</v>
      </c>
      <c r="AC39" s="218"/>
      <c r="AD39" s="218">
        <v>1951123.2199999997</v>
      </c>
      <c r="AE39" s="223"/>
      <c r="AF39" s="218">
        <v>4390469.1251139995</v>
      </c>
      <c r="AG39" s="223"/>
      <c r="AH39" s="218">
        <v>-187737.0248860009</v>
      </c>
      <c r="AI39" s="223"/>
      <c r="AJ39" s="218">
        <v>2187667.3816986894</v>
      </c>
      <c r="AK39" s="218"/>
      <c r="AL39" s="218">
        <v>356490.03999999911</v>
      </c>
      <c r="AM39" s="218"/>
      <c r="AN39" s="218">
        <v>3045848.2358212508</v>
      </c>
      <c r="AO39" s="218"/>
      <c r="AP39" s="218">
        <v>3555540.60356104</v>
      </c>
      <c r="AQ39" s="218"/>
      <c r="AR39" s="218">
        <v>2553800.5916986894</v>
      </c>
      <c r="AS39" s="218"/>
      <c r="AT39" s="218">
        <v>3555540.60356104</v>
      </c>
      <c r="AU39" s="218"/>
      <c r="AV39" s="218">
        <v>2200943.326978019</v>
      </c>
      <c r="AW39" s="218"/>
    </row>
    <row r="40" spans="1:49" ht="16.5" thickBot="1" x14ac:dyDescent="0.3">
      <c r="A40" s="206"/>
      <c r="B40" s="213" t="s">
        <v>30</v>
      </c>
      <c r="C40" s="223"/>
      <c r="D40" s="222">
        <v>0</v>
      </c>
      <c r="E40" s="223"/>
      <c r="F40" s="222">
        <v>0</v>
      </c>
      <c r="G40" s="223"/>
      <c r="H40" s="222">
        <v>0</v>
      </c>
      <c r="I40" s="223"/>
      <c r="J40" s="222">
        <v>0</v>
      </c>
      <c r="K40" s="223"/>
      <c r="L40" s="222">
        <v>0</v>
      </c>
      <c r="M40" s="223"/>
      <c r="N40" s="222">
        <v>0</v>
      </c>
      <c r="O40" s="223"/>
      <c r="P40" s="222">
        <v>0</v>
      </c>
      <c r="Q40" s="223"/>
      <c r="R40" s="222">
        <v>0</v>
      </c>
      <c r="S40" s="223"/>
      <c r="T40" s="222">
        <v>0</v>
      </c>
      <c r="U40" s="223"/>
      <c r="V40" s="222">
        <v>0</v>
      </c>
      <c r="W40" s="223"/>
      <c r="X40" s="222">
        <v>0</v>
      </c>
      <c r="Y40" s="223"/>
      <c r="Z40" s="222">
        <v>0</v>
      </c>
      <c r="AA40" s="223"/>
      <c r="AB40" s="222">
        <v>0</v>
      </c>
      <c r="AC40" s="223"/>
      <c r="AD40" s="222">
        <v>0</v>
      </c>
      <c r="AE40" s="223"/>
      <c r="AF40" s="222">
        <v>0</v>
      </c>
      <c r="AG40" s="223"/>
      <c r="AH40" s="222">
        <v>0</v>
      </c>
      <c r="AI40" s="223"/>
      <c r="AJ40" s="222">
        <v>0</v>
      </c>
      <c r="AK40" s="223"/>
      <c r="AL40" s="222">
        <v>0</v>
      </c>
      <c r="AM40" s="223"/>
      <c r="AN40" s="222">
        <v>0</v>
      </c>
      <c r="AO40" s="223"/>
      <c r="AP40" s="222">
        <v>0</v>
      </c>
      <c r="AQ40" s="223"/>
      <c r="AR40" s="222">
        <v>0</v>
      </c>
      <c r="AS40" s="223"/>
      <c r="AT40" s="222">
        <v>0</v>
      </c>
      <c r="AU40" s="223"/>
      <c r="AV40" s="222">
        <v>0</v>
      </c>
      <c r="AW40" s="223"/>
    </row>
    <row r="41" spans="1:49" ht="16.5" thickTop="1" x14ac:dyDescent="0.25">
      <c r="A41" s="206"/>
      <c r="B41" s="223"/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  <c r="V41" s="223"/>
      <c r="W41" s="223"/>
      <c r="X41" s="223"/>
      <c r="Y41" s="223"/>
      <c r="Z41" s="223"/>
      <c r="AA41" s="223"/>
      <c r="AB41" s="223"/>
      <c r="AC41" s="223"/>
      <c r="AD41" s="223"/>
      <c r="AE41" s="223"/>
      <c r="AF41" s="223"/>
      <c r="AG41" s="223"/>
      <c r="AH41" s="223"/>
      <c r="AI41" s="223"/>
      <c r="AJ41" s="223"/>
      <c r="AK41" s="223"/>
      <c r="AL41" s="223"/>
      <c r="AM41" s="223"/>
      <c r="AN41" s="223"/>
      <c r="AO41" s="223"/>
      <c r="AP41" s="223"/>
      <c r="AQ41" s="223"/>
      <c r="AR41" s="223"/>
      <c r="AS41" s="223"/>
      <c r="AT41" s="223"/>
      <c r="AU41" s="223"/>
      <c r="AV41" s="223"/>
      <c r="AW41" s="223"/>
    </row>
  </sheetData>
  <pageMargins left="0.7" right="0.7" top="0.75" bottom="0.75" header="0.3" footer="0.3"/>
  <pageSetup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5BB10-F093-4C98-8F8A-3996C3A43C6B}">
  <sheetPr>
    <tabColor theme="3" tint="0.59999389629810485"/>
    <pageSetUpPr fitToPage="1"/>
  </sheetPr>
  <dimension ref="A1:T37"/>
  <sheetViews>
    <sheetView zoomScaleNormal="100" workbookViewId="0">
      <pane xSplit="3" ySplit="5" topLeftCell="D6" activePane="bottomRight" state="frozen"/>
      <selection activeCell="B2" sqref="B2"/>
      <selection pane="topRight" activeCell="B2" sqref="B2"/>
      <selection pane="bottomLeft" activeCell="B2" sqref="B2"/>
      <selection pane="bottomRight" sqref="A1:T36"/>
    </sheetView>
  </sheetViews>
  <sheetFormatPr defaultColWidth="8.85546875" defaultRowHeight="15.75" x14ac:dyDescent="0.25"/>
  <cols>
    <col min="1" max="1" width="13.42578125" style="207" bestFit="1" customWidth="1"/>
    <col min="2" max="2" width="39.85546875" style="207" customWidth="1"/>
    <col min="3" max="3" width="1.5703125" style="207" customWidth="1"/>
    <col min="4" max="4" width="15" style="207" hidden="1" customWidth="1"/>
    <col min="5" max="5" width="1.5703125" style="207" hidden="1" customWidth="1"/>
    <col min="6" max="6" width="14.42578125" style="208" hidden="1" customWidth="1"/>
    <col min="7" max="7" width="1.5703125" style="207" hidden="1" customWidth="1"/>
    <col min="8" max="8" width="14.42578125" style="208" hidden="1" customWidth="1"/>
    <col min="9" max="9" width="1.5703125" style="207" hidden="1" customWidth="1"/>
    <col min="10" max="10" width="14" style="207" bestFit="1" customWidth="1"/>
    <col min="11" max="11" width="1.5703125" style="207" customWidth="1"/>
    <col min="12" max="12" width="14" style="207" bestFit="1" customWidth="1"/>
    <col min="13" max="13" width="1.5703125" style="207" customWidth="1"/>
    <col min="14" max="14" width="13.5703125" style="207" bestFit="1" customWidth="1"/>
    <col min="15" max="15" width="1.5703125" style="207" customWidth="1"/>
    <col min="16" max="16" width="13.5703125" style="207" bestFit="1" customWidth="1"/>
    <col min="17" max="17" width="1.5703125" style="207" customWidth="1"/>
    <col min="18" max="18" width="13.5703125" style="207" bestFit="1" customWidth="1"/>
    <col min="19" max="19" width="1.5703125" style="207" customWidth="1"/>
    <col min="20" max="20" width="14.5703125" style="207" bestFit="1" customWidth="1"/>
    <col min="21" max="21" width="13.85546875" style="207" bestFit="1" customWidth="1"/>
    <col min="22" max="16384" width="8.85546875" style="207"/>
  </cols>
  <sheetData>
    <row r="1" spans="1:20" x14ac:dyDescent="0.25">
      <c r="A1" s="206"/>
      <c r="B1" s="207" t="s">
        <v>1221</v>
      </c>
    </row>
    <row r="2" spans="1:20" x14ac:dyDescent="0.25">
      <c r="A2" s="206"/>
      <c r="B2" s="207" t="s">
        <v>1208</v>
      </c>
    </row>
    <row r="3" spans="1:20" x14ac:dyDescent="0.25">
      <c r="A3" s="206"/>
    </row>
    <row r="4" spans="1:20" x14ac:dyDescent="0.25">
      <c r="A4" s="206"/>
      <c r="D4" s="209"/>
      <c r="E4" s="209"/>
      <c r="F4" s="210" t="s">
        <v>36</v>
      </c>
      <c r="G4" s="209"/>
      <c r="H4" s="210" t="s">
        <v>37</v>
      </c>
      <c r="I4" s="209"/>
      <c r="J4" s="210">
        <v>20</v>
      </c>
      <c r="K4" s="209"/>
      <c r="L4" s="210">
        <v>22</v>
      </c>
      <c r="M4" s="209"/>
      <c r="N4" s="209">
        <v>51</v>
      </c>
      <c r="O4" s="209"/>
      <c r="P4" s="209">
        <v>52</v>
      </c>
      <c r="Q4" s="209"/>
      <c r="R4" s="209">
        <v>53</v>
      </c>
    </row>
    <row r="5" spans="1:20" x14ac:dyDescent="0.25">
      <c r="A5" s="206"/>
      <c r="D5" s="211" t="s">
        <v>38</v>
      </c>
      <c r="E5" s="209"/>
      <c r="F5" s="211" t="s">
        <v>3</v>
      </c>
      <c r="G5" s="209"/>
      <c r="H5" s="211" t="s">
        <v>3</v>
      </c>
      <c r="I5" s="209"/>
      <c r="J5" s="211" t="s">
        <v>39</v>
      </c>
      <c r="L5" s="211" t="s">
        <v>979</v>
      </c>
      <c r="N5" s="211" t="s">
        <v>33</v>
      </c>
      <c r="O5" s="211"/>
      <c r="P5" s="211" t="s">
        <v>34</v>
      </c>
      <c r="Q5" s="211"/>
      <c r="R5" s="211" t="s">
        <v>40</v>
      </c>
      <c r="T5" s="211" t="s">
        <v>41</v>
      </c>
    </row>
    <row r="6" spans="1:20" x14ac:dyDescent="0.25">
      <c r="A6" s="206"/>
      <c r="D6" s="208"/>
    </row>
    <row r="7" spans="1:20" x14ac:dyDescent="0.25">
      <c r="A7" s="212"/>
      <c r="B7" s="213" t="s">
        <v>5</v>
      </c>
      <c r="D7" s="208"/>
    </row>
    <row r="8" spans="1:20" x14ac:dyDescent="0.25">
      <c r="A8" s="206">
        <v>30</v>
      </c>
      <c r="B8" s="214" t="s">
        <v>6</v>
      </c>
      <c r="D8" s="215">
        <v>1277132</v>
      </c>
      <c r="E8" s="216"/>
      <c r="F8" s="215">
        <v>1617868</v>
      </c>
      <c r="G8" s="216"/>
      <c r="H8" s="215">
        <v>-11400</v>
      </c>
      <c r="I8" s="216"/>
      <c r="J8" s="215">
        <v>1189078.3199999998</v>
      </c>
      <c r="K8" s="215"/>
      <c r="L8" s="215">
        <v>1686024</v>
      </c>
      <c r="M8" s="215"/>
      <c r="N8" s="215">
        <v>752720</v>
      </c>
      <c r="O8" s="215"/>
      <c r="P8" s="215">
        <v>685480</v>
      </c>
      <c r="Q8" s="215"/>
      <c r="R8" s="215">
        <v>28500</v>
      </c>
      <c r="S8" s="215"/>
      <c r="T8" s="215">
        <v>4341802.32</v>
      </c>
    </row>
    <row r="9" spans="1:20" x14ac:dyDescent="0.25">
      <c r="A9" s="206">
        <v>40</v>
      </c>
      <c r="B9" s="214" t="s">
        <v>7</v>
      </c>
      <c r="D9" s="215"/>
      <c r="E9" s="216"/>
      <c r="F9" s="215"/>
      <c r="G9" s="216"/>
      <c r="H9" s="215"/>
      <c r="I9" s="216"/>
      <c r="J9" s="216">
        <v>1300</v>
      </c>
      <c r="K9" s="216"/>
      <c r="L9" s="216">
        <v>0</v>
      </c>
      <c r="M9" s="216"/>
      <c r="N9" s="216">
        <v>0</v>
      </c>
      <c r="O9" s="216"/>
      <c r="P9" s="216">
        <v>0</v>
      </c>
      <c r="Q9" s="216"/>
      <c r="R9" s="216">
        <v>0</v>
      </c>
      <c r="S9" s="216"/>
      <c r="T9" s="216">
        <v>1300</v>
      </c>
    </row>
    <row r="10" spans="1:20" x14ac:dyDescent="0.25">
      <c r="A10" s="206"/>
      <c r="B10" s="214"/>
      <c r="D10" s="217">
        <v>1277132</v>
      </c>
      <c r="E10" s="216"/>
      <c r="F10" s="217">
        <v>1617868</v>
      </c>
      <c r="G10" s="216"/>
      <c r="H10" s="217">
        <v>-11400</v>
      </c>
      <c r="I10" s="216"/>
      <c r="J10" s="217">
        <v>1190378.3199999998</v>
      </c>
      <c r="K10" s="216"/>
      <c r="L10" s="217">
        <v>1686024</v>
      </c>
      <c r="M10" s="216"/>
      <c r="N10" s="217">
        <v>752720</v>
      </c>
      <c r="O10" s="216"/>
      <c r="P10" s="217">
        <v>685480</v>
      </c>
      <c r="Q10" s="216"/>
      <c r="R10" s="217">
        <v>28500</v>
      </c>
      <c r="S10" s="216"/>
      <c r="T10" s="217">
        <v>4343102.32</v>
      </c>
    </row>
    <row r="11" spans="1:20" x14ac:dyDescent="0.25">
      <c r="A11" s="20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</row>
    <row r="12" spans="1:20" x14ac:dyDescent="0.25">
      <c r="A12" s="206"/>
      <c r="B12" s="213" t="s">
        <v>8</v>
      </c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</row>
    <row r="13" spans="1:20" x14ac:dyDescent="0.25">
      <c r="A13" s="206">
        <v>100</v>
      </c>
      <c r="B13" s="214" t="s">
        <v>9</v>
      </c>
      <c r="D13" s="216">
        <v>538876</v>
      </c>
      <c r="E13" s="216"/>
      <c r="F13" s="216">
        <v>703532</v>
      </c>
      <c r="G13" s="216"/>
      <c r="H13" s="216">
        <v>247460</v>
      </c>
      <c r="I13" s="216"/>
      <c r="J13" s="216">
        <v>1115849.4761389999</v>
      </c>
      <c r="K13" s="216"/>
      <c r="L13" s="216">
        <v>1239165.581</v>
      </c>
      <c r="M13" s="216"/>
      <c r="N13" s="216">
        <v>376088.80451934994</v>
      </c>
      <c r="O13" s="216"/>
      <c r="P13" s="216">
        <v>376050.40451934998</v>
      </c>
      <c r="Q13" s="216"/>
      <c r="R13" s="216">
        <v>12339.49080032</v>
      </c>
      <c r="S13" s="216"/>
      <c r="T13" s="216">
        <v>3119493.7569780196</v>
      </c>
    </row>
    <row r="14" spans="1:20" x14ac:dyDescent="0.25">
      <c r="A14" s="206">
        <v>200</v>
      </c>
      <c r="B14" s="214" t="s">
        <v>10</v>
      </c>
      <c r="D14" s="216">
        <v>278958</v>
      </c>
      <c r="E14" s="216"/>
      <c r="F14" s="216">
        <v>526999</v>
      </c>
      <c r="G14" s="216"/>
      <c r="H14" s="216">
        <v>47273</v>
      </c>
      <c r="I14" s="216"/>
      <c r="J14" s="216">
        <v>287720.49</v>
      </c>
      <c r="K14" s="216"/>
      <c r="L14" s="216">
        <v>214000</v>
      </c>
      <c r="M14" s="216"/>
      <c r="N14" s="216">
        <v>328300</v>
      </c>
      <c r="O14" s="216"/>
      <c r="P14" s="216">
        <v>322600</v>
      </c>
      <c r="Q14" s="216"/>
      <c r="R14" s="216">
        <v>18240</v>
      </c>
      <c r="S14" s="216"/>
      <c r="T14" s="216">
        <v>1170860.49</v>
      </c>
    </row>
    <row r="15" spans="1:20" x14ac:dyDescent="0.25">
      <c r="A15" s="206">
        <v>500</v>
      </c>
      <c r="B15" s="214" t="s">
        <v>11</v>
      </c>
      <c r="D15" s="216">
        <v>119175</v>
      </c>
      <c r="E15" s="216"/>
      <c r="F15" s="216">
        <v>0</v>
      </c>
      <c r="G15" s="216"/>
      <c r="H15" s="216">
        <v>298100</v>
      </c>
      <c r="I15" s="216"/>
      <c r="J15" s="216">
        <v>49000</v>
      </c>
      <c r="K15" s="216"/>
      <c r="L15" s="216">
        <v>52000</v>
      </c>
      <c r="M15" s="216"/>
      <c r="N15" s="216">
        <v>116000</v>
      </c>
      <c r="O15" s="216"/>
      <c r="P15" s="216">
        <v>43350</v>
      </c>
      <c r="Q15" s="216"/>
      <c r="R15" s="216">
        <v>4000</v>
      </c>
      <c r="S15" s="216"/>
      <c r="T15" s="216">
        <v>264350</v>
      </c>
    </row>
    <row r="16" spans="1:20" x14ac:dyDescent="0.25">
      <c r="A16" s="206">
        <v>700</v>
      </c>
      <c r="B16" s="214" t="s">
        <v>43</v>
      </c>
      <c r="D16" s="224">
        <v>58095</v>
      </c>
      <c r="E16" s="216"/>
      <c r="F16" s="224">
        <v>0</v>
      </c>
      <c r="G16" s="216"/>
      <c r="H16" s="224">
        <v>1300</v>
      </c>
      <c r="I16" s="216"/>
      <c r="J16" s="218">
        <v>110000</v>
      </c>
      <c r="K16" s="218"/>
      <c r="L16" s="218">
        <v>0</v>
      </c>
      <c r="M16" s="218"/>
      <c r="N16" s="218">
        <v>87202</v>
      </c>
      <c r="O16" s="218"/>
      <c r="P16" s="218">
        <v>111558</v>
      </c>
      <c r="Q16" s="218"/>
      <c r="R16" s="218">
        <v>2122</v>
      </c>
      <c r="S16" s="218"/>
      <c r="T16" s="218">
        <v>310882</v>
      </c>
    </row>
    <row r="17" spans="1:20" x14ac:dyDescent="0.25">
      <c r="A17" s="206">
        <v>600</v>
      </c>
      <c r="B17" s="214" t="s">
        <v>13</v>
      </c>
      <c r="D17" s="216"/>
      <c r="E17" s="216"/>
      <c r="F17" s="216"/>
      <c r="G17" s="216"/>
      <c r="H17" s="216"/>
      <c r="I17" s="216"/>
      <c r="J17" s="224">
        <v>0</v>
      </c>
      <c r="K17" s="216"/>
      <c r="L17" s="224">
        <v>0</v>
      </c>
      <c r="M17" s="216"/>
      <c r="N17" s="224">
        <v>0</v>
      </c>
      <c r="O17" s="216"/>
      <c r="P17" s="224">
        <v>0</v>
      </c>
      <c r="Q17" s="216"/>
      <c r="R17" s="224">
        <v>0</v>
      </c>
      <c r="S17" s="216"/>
      <c r="T17" s="224">
        <v>0</v>
      </c>
    </row>
    <row r="18" spans="1:20" x14ac:dyDescent="0.25">
      <c r="A18" s="206"/>
      <c r="B18" s="219" t="s">
        <v>14</v>
      </c>
      <c r="D18" s="216">
        <v>995104</v>
      </c>
      <c r="E18" s="216"/>
      <c r="F18" s="216">
        <v>1230531</v>
      </c>
      <c r="G18" s="216"/>
      <c r="H18" s="216">
        <v>594133</v>
      </c>
      <c r="I18" s="216"/>
      <c r="J18" s="216">
        <v>1562569.9661389999</v>
      </c>
      <c r="K18" s="216"/>
      <c r="L18" s="216">
        <v>1505165.581</v>
      </c>
      <c r="M18" s="216"/>
      <c r="N18" s="216">
        <v>907590.80451934994</v>
      </c>
      <c r="O18" s="216"/>
      <c r="P18" s="216">
        <v>853558.40451935004</v>
      </c>
      <c r="Q18" s="216"/>
      <c r="R18" s="216">
        <v>36701.490800319996</v>
      </c>
      <c r="S18" s="216"/>
      <c r="T18" s="216">
        <v>4865586.2469780194</v>
      </c>
    </row>
    <row r="19" spans="1:20" x14ac:dyDescent="0.25">
      <c r="A19" s="206"/>
      <c r="B19" s="220" t="s">
        <v>15</v>
      </c>
      <c r="D19" s="216">
        <v>282028</v>
      </c>
      <c r="E19" s="216"/>
      <c r="F19" s="216">
        <v>387337</v>
      </c>
      <c r="G19" s="216"/>
      <c r="H19" s="216">
        <v>-605533</v>
      </c>
      <c r="I19" s="216"/>
      <c r="J19" s="216">
        <v>-372191.64613900008</v>
      </c>
      <c r="K19" s="216"/>
      <c r="L19" s="216">
        <v>180858.41899999999</v>
      </c>
      <c r="M19" s="216"/>
      <c r="N19" s="216">
        <v>-154870.80451934994</v>
      </c>
      <c r="O19" s="216"/>
      <c r="P19" s="216">
        <v>-168078.40451935004</v>
      </c>
      <c r="Q19" s="216"/>
      <c r="R19" s="216">
        <v>-8201.4908003199962</v>
      </c>
      <c r="S19" s="216"/>
      <c r="T19" s="216">
        <v>-522483.92697801907</v>
      </c>
    </row>
    <row r="20" spans="1:20" x14ac:dyDescent="0.25">
      <c r="A20" s="20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</row>
    <row r="21" spans="1:20" x14ac:dyDescent="0.25">
      <c r="A21" s="206"/>
      <c r="B21" s="213" t="s">
        <v>16</v>
      </c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</row>
    <row r="22" spans="1:20" x14ac:dyDescent="0.25">
      <c r="A22" s="206">
        <v>950</v>
      </c>
      <c r="B22" s="214" t="s">
        <v>17</v>
      </c>
      <c r="D22" s="216">
        <v>160986</v>
      </c>
      <c r="E22" s="216"/>
      <c r="F22" s="216">
        <v>145000</v>
      </c>
      <c r="G22" s="216"/>
      <c r="H22" s="216">
        <v>-65</v>
      </c>
      <c r="I22" s="216"/>
      <c r="J22" s="216">
        <v>85000</v>
      </c>
      <c r="K22" s="216"/>
      <c r="L22" s="216">
        <v>0</v>
      </c>
      <c r="M22" s="216"/>
      <c r="N22" s="216">
        <v>80000</v>
      </c>
      <c r="O22" s="216"/>
      <c r="P22" s="216">
        <v>0</v>
      </c>
      <c r="Q22" s="216"/>
      <c r="R22" s="216">
        <v>0</v>
      </c>
      <c r="S22" s="216"/>
      <c r="T22" s="216">
        <v>165000</v>
      </c>
    </row>
    <row r="23" spans="1:20" x14ac:dyDescent="0.25">
      <c r="A23" s="206">
        <v>60</v>
      </c>
      <c r="B23" s="214" t="s">
        <v>18</v>
      </c>
      <c r="D23" s="216">
        <v>62080</v>
      </c>
      <c r="E23" s="216"/>
      <c r="F23" s="216">
        <v>15000</v>
      </c>
      <c r="G23" s="216"/>
      <c r="H23" s="216">
        <v>-2400</v>
      </c>
      <c r="I23" s="216"/>
      <c r="J23" s="216">
        <v>15000</v>
      </c>
      <c r="K23" s="216"/>
      <c r="L23" s="216">
        <v>0</v>
      </c>
      <c r="M23" s="216"/>
      <c r="N23" s="216">
        <v>0</v>
      </c>
      <c r="O23" s="216"/>
      <c r="P23" s="216">
        <v>0</v>
      </c>
      <c r="Q23" s="216"/>
      <c r="R23" s="216">
        <v>0</v>
      </c>
      <c r="S23" s="216"/>
      <c r="T23" s="216">
        <v>15000</v>
      </c>
    </row>
    <row r="24" spans="1:20" x14ac:dyDescent="0.25">
      <c r="A24" s="206">
        <v>960</v>
      </c>
      <c r="B24" s="214" t="s">
        <v>19</v>
      </c>
      <c r="D24" s="218">
        <v>45267</v>
      </c>
      <c r="E24" s="218"/>
      <c r="F24" s="218">
        <v>8500</v>
      </c>
      <c r="G24" s="218"/>
      <c r="H24" s="218">
        <v>375400</v>
      </c>
      <c r="I24" s="218"/>
      <c r="J24" s="216">
        <v>40000</v>
      </c>
      <c r="K24" s="218"/>
      <c r="L24" s="216">
        <v>12000</v>
      </c>
      <c r="M24" s="216"/>
      <c r="N24" s="216">
        <v>100000</v>
      </c>
      <c r="O24" s="216"/>
      <c r="P24" s="216">
        <v>50000</v>
      </c>
      <c r="Q24" s="216"/>
      <c r="R24" s="216">
        <v>0</v>
      </c>
      <c r="S24" s="216"/>
      <c r="T24" s="216">
        <v>202000</v>
      </c>
    </row>
    <row r="25" spans="1:20" x14ac:dyDescent="0.25">
      <c r="A25" s="206">
        <v>70</v>
      </c>
      <c r="B25" s="214" t="s">
        <v>20</v>
      </c>
      <c r="D25" s="216">
        <v>0</v>
      </c>
      <c r="E25" s="216"/>
      <c r="F25" s="216">
        <v>0</v>
      </c>
      <c r="G25" s="216"/>
      <c r="H25" s="216">
        <v>0</v>
      </c>
      <c r="I25" s="216"/>
      <c r="J25" s="216">
        <v>55250</v>
      </c>
      <c r="K25" s="216"/>
      <c r="L25" s="216">
        <v>60000</v>
      </c>
      <c r="M25" s="216"/>
      <c r="N25" s="216">
        <v>1400000</v>
      </c>
      <c r="O25" s="216"/>
      <c r="P25" s="216">
        <v>0</v>
      </c>
      <c r="Q25" s="216"/>
      <c r="R25" s="216">
        <v>0</v>
      </c>
      <c r="S25" s="216"/>
      <c r="T25" s="216">
        <v>1515250</v>
      </c>
    </row>
    <row r="26" spans="1:20" x14ac:dyDescent="0.25">
      <c r="A26" s="206">
        <v>620</v>
      </c>
      <c r="B26" s="214" t="s">
        <v>23</v>
      </c>
      <c r="D26" s="216">
        <v>-137305</v>
      </c>
      <c r="E26" s="216"/>
      <c r="F26" s="216">
        <v>-458875</v>
      </c>
      <c r="G26" s="216"/>
      <c r="H26" s="216">
        <v>-21496</v>
      </c>
      <c r="I26" s="216"/>
      <c r="J26" s="224">
        <v>-9000</v>
      </c>
      <c r="K26" s="216"/>
      <c r="L26" s="224">
        <v>0</v>
      </c>
      <c r="M26" s="216"/>
      <c r="N26" s="224">
        <v>-91558</v>
      </c>
      <c r="O26" s="216"/>
      <c r="P26" s="224">
        <v>-63620</v>
      </c>
      <c r="Q26" s="216"/>
      <c r="R26" s="224">
        <v>0</v>
      </c>
      <c r="S26" s="216"/>
      <c r="T26" s="224">
        <v>-164178</v>
      </c>
    </row>
    <row r="27" spans="1:20" ht="21" customHeight="1" x14ac:dyDescent="0.25">
      <c r="A27" s="206"/>
      <c r="B27" s="219" t="s">
        <v>24</v>
      </c>
      <c r="D27" s="221">
        <v>131028</v>
      </c>
      <c r="E27" s="216"/>
      <c r="F27" s="221">
        <v>-290375</v>
      </c>
      <c r="G27" s="216"/>
      <c r="H27" s="221">
        <v>351439</v>
      </c>
      <c r="I27" s="216"/>
      <c r="J27" s="221">
        <v>186250</v>
      </c>
      <c r="K27" s="216"/>
      <c r="L27" s="221">
        <v>72000</v>
      </c>
      <c r="M27" s="216"/>
      <c r="N27" s="221">
        <v>1488442</v>
      </c>
      <c r="O27" s="216"/>
      <c r="P27" s="221">
        <v>-13620</v>
      </c>
      <c r="Q27" s="216"/>
      <c r="R27" s="221">
        <v>0</v>
      </c>
      <c r="S27" s="216"/>
      <c r="T27" s="221">
        <v>1733072</v>
      </c>
    </row>
    <row r="28" spans="1:20" ht="21" customHeight="1" thickBot="1" x14ac:dyDescent="0.3">
      <c r="A28" s="206"/>
      <c r="B28" s="220" t="s">
        <v>25</v>
      </c>
      <c r="D28" s="222">
        <v>413056</v>
      </c>
      <c r="E28" s="216"/>
      <c r="F28" s="222">
        <v>96962</v>
      </c>
      <c r="G28" s="216"/>
      <c r="H28" s="222">
        <v>-254094</v>
      </c>
      <c r="I28" s="216"/>
      <c r="J28" s="222">
        <v>-185941.64613900008</v>
      </c>
      <c r="L28" s="222">
        <v>252858.41899999999</v>
      </c>
      <c r="N28" s="222">
        <v>1333571.1954806501</v>
      </c>
      <c r="P28" s="222">
        <v>-181698.40451935004</v>
      </c>
      <c r="R28" s="222">
        <v>-8201.4908003199962</v>
      </c>
      <c r="T28" s="222">
        <v>1210588.0730219809</v>
      </c>
    </row>
    <row r="29" spans="1:20" ht="16.5" thickTop="1" x14ac:dyDescent="0.25">
      <c r="A29" s="206"/>
      <c r="D29" s="216"/>
      <c r="E29" s="216"/>
      <c r="F29" s="216"/>
      <c r="G29" s="216"/>
      <c r="H29" s="216"/>
      <c r="I29" s="216"/>
      <c r="J29" s="216"/>
      <c r="L29" s="216"/>
      <c r="N29" s="216"/>
      <c r="P29" s="216"/>
      <c r="R29" s="216"/>
      <c r="T29" s="216"/>
    </row>
    <row r="30" spans="1:20" x14ac:dyDescent="0.25">
      <c r="A30" s="206"/>
      <c r="B30" s="213" t="s">
        <v>1223</v>
      </c>
      <c r="D30" s="216"/>
      <c r="E30" s="216"/>
      <c r="F30" s="216"/>
      <c r="G30" s="216"/>
      <c r="H30" s="216"/>
      <c r="I30" s="216"/>
      <c r="J30" s="216"/>
      <c r="L30" s="216"/>
      <c r="N30" s="216"/>
      <c r="P30" s="216"/>
      <c r="R30" s="216"/>
      <c r="T30" s="216"/>
    </row>
    <row r="31" spans="1:20" x14ac:dyDescent="0.25">
      <c r="A31" s="206">
        <v>970</v>
      </c>
      <c r="B31" s="214" t="s">
        <v>26</v>
      </c>
      <c r="D31" s="216">
        <v>380755</v>
      </c>
      <c r="E31" s="216"/>
      <c r="F31" s="216">
        <v>0</v>
      </c>
      <c r="G31" s="216"/>
      <c r="H31" s="216">
        <v>63118</v>
      </c>
      <c r="I31" s="216"/>
      <c r="J31" s="216">
        <v>-21531.4</v>
      </c>
      <c r="L31" s="216">
        <v>0</v>
      </c>
      <c r="N31" s="216">
        <v>-141000</v>
      </c>
      <c r="P31" s="216">
        <v>0</v>
      </c>
      <c r="R31" s="216">
        <v>0</v>
      </c>
      <c r="T31" s="216">
        <v>-162531.4</v>
      </c>
    </row>
    <row r="32" spans="1:20" x14ac:dyDescent="0.25">
      <c r="A32" s="206">
        <v>710</v>
      </c>
      <c r="B32" s="214" t="s">
        <v>22</v>
      </c>
      <c r="D32" s="216">
        <v>1702811</v>
      </c>
      <c r="E32" s="216"/>
      <c r="F32" s="216">
        <v>5000</v>
      </c>
      <c r="G32" s="216"/>
      <c r="H32" s="216">
        <v>18200</v>
      </c>
      <c r="I32" s="216"/>
      <c r="J32" s="225">
        <v>-619000</v>
      </c>
      <c r="K32" s="226"/>
      <c r="L32" s="225">
        <v>0</v>
      </c>
      <c r="M32" s="225"/>
      <c r="N32" s="225">
        <v>-1590000</v>
      </c>
      <c r="O32" s="225"/>
      <c r="P32" s="225">
        <v>-1040000</v>
      </c>
      <c r="Q32" s="225"/>
      <c r="R32" s="225">
        <v>0</v>
      </c>
      <c r="S32" s="225"/>
      <c r="T32" s="225">
        <v>-3249000</v>
      </c>
    </row>
    <row r="33" spans="1:20" ht="21" customHeight="1" thickBot="1" x14ac:dyDescent="0.3">
      <c r="A33" s="206"/>
      <c r="B33" s="219" t="s">
        <v>27</v>
      </c>
      <c r="D33" s="222">
        <v>2083566</v>
      </c>
      <c r="E33" s="216"/>
      <c r="F33" s="222">
        <v>5000</v>
      </c>
      <c r="G33" s="216"/>
      <c r="H33" s="222">
        <v>81318</v>
      </c>
      <c r="I33" s="216"/>
      <c r="J33" s="222">
        <v>-640531.4</v>
      </c>
      <c r="L33" s="222">
        <v>0</v>
      </c>
      <c r="N33" s="222">
        <v>-1731000</v>
      </c>
      <c r="P33" s="222">
        <v>-1040000</v>
      </c>
      <c r="R33" s="222">
        <v>0</v>
      </c>
      <c r="T33" s="222">
        <v>-3411531.4</v>
      </c>
    </row>
    <row r="34" spans="1:20" ht="21" customHeight="1" thickTop="1" x14ac:dyDescent="0.25">
      <c r="A34" s="206"/>
      <c r="B34" s="219"/>
      <c r="D34" s="223"/>
      <c r="E34" s="216"/>
      <c r="F34" s="223"/>
      <c r="G34" s="216"/>
      <c r="H34" s="223"/>
      <c r="I34" s="216"/>
      <c r="J34" s="223"/>
      <c r="L34" s="223"/>
      <c r="N34" s="223"/>
      <c r="P34" s="223"/>
      <c r="R34" s="223"/>
      <c r="T34" s="223"/>
    </row>
    <row r="35" spans="1:20" ht="21" customHeight="1" thickBot="1" x14ac:dyDescent="0.3">
      <c r="A35" s="206"/>
      <c r="B35" s="219" t="s">
        <v>1224</v>
      </c>
      <c r="D35" s="223"/>
      <c r="E35" s="216"/>
      <c r="F35" s="223"/>
      <c r="G35" s="216"/>
      <c r="H35" s="223"/>
      <c r="I35" s="216"/>
      <c r="J35" s="227">
        <v>-826473.0461390001</v>
      </c>
      <c r="L35" s="227">
        <v>252858.41899999999</v>
      </c>
      <c r="N35" s="227">
        <v>-397428.80451934994</v>
      </c>
      <c r="P35" s="227">
        <v>-1221698.40451935</v>
      </c>
      <c r="R35" s="227">
        <v>-8201.4908003199962</v>
      </c>
      <c r="T35" s="227">
        <v>-2200943.326978019</v>
      </c>
    </row>
    <row r="36" spans="1:20" ht="21" customHeight="1" thickTop="1" x14ac:dyDescent="0.25">
      <c r="A36" s="206"/>
      <c r="B36" s="219"/>
      <c r="D36" s="223"/>
      <c r="E36" s="216"/>
      <c r="F36" s="223"/>
      <c r="G36" s="216"/>
      <c r="H36" s="223"/>
      <c r="I36" s="216"/>
      <c r="J36" s="223"/>
      <c r="L36" s="223"/>
      <c r="N36" s="223"/>
      <c r="P36" s="223"/>
      <c r="R36" s="223"/>
      <c r="T36" s="223"/>
    </row>
    <row r="37" spans="1:20" x14ac:dyDescent="0.25">
      <c r="A37" s="206"/>
      <c r="B37" s="219"/>
      <c r="D37" s="223"/>
      <c r="E37" s="216"/>
      <c r="F37" s="223"/>
      <c r="G37" s="216"/>
      <c r="H37" s="223"/>
      <c r="I37" s="216"/>
      <c r="J37" s="223"/>
      <c r="L37" s="223"/>
      <c r="N37" s="223"/>
      <c r="P37" s="223"/>
      <c r="R37" s="223"/>
      <c r="T37" s="223"/>
    </row>
  </sheetData>
  <pageMargins left="0.7" right="0.7" top="0.75" bottom="0.75" header="0.3" footer="0.3"/>
  <pageSetup scale="82" orientation="landscape" blackAndWhite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FDD3-4FD4-41B6-9512-B550D4269149}">
  <sheetPr>
    <tabColor theme="3" tint="0.59999389629810485"/>
    <pageSetUpPr fitToPage="1"/>
  </sheetPr>
  <dimension ref="A1:I40"/>
  <sheetViews>
    <sheetView zoomScaleNormal="100" workbookViewId="0">
      <pane xSplit="3" ySplit="5" topLeftCell="D35" activePane="bottomRight" state="frozen"/>
      <selection activeCell="B2" sqref="B2"/>
      <selection pane="topRight" activeCell="B2" sqref="B2"/>
      <selection pane="bottomLeft" activeCell="B2" sqref="B2"/>
      <selection pane="bottomRight" sqref="A1:H40"/>
    </sheetView>
  </sheetViews>
  <sheetFormatPr defaultColWidth="8.85546875" defaultRowHeight="15.75" x14ac:dyDescent="0.25"/>
  <cols>
    <col min="1" max="1" width="13.5703125" style="207" bestFit="1" customWidth="1"/>
    <col min="2" max="2" width="46.140625" style="207" customWidth="1"/>
    <col min="3" max="3" width="1.5703125" style="207" customWidth="1"/>
    <col min="4" max="4" width="14" style="207" customWidth="1"/>
    <col min="5" max="5" width="1.5703125" style="207" customWidth="1"/>
    <col min="6" max="6" width="14" style="207" customWidth="1"/>
    <col min="7" max="7" width="1.5703125" style="207" customWidth="1"/>
    <col min="8" max="8" width="15.140625" style="207" bestFit="1" customWidth="1"/>
    <col min="9" max="9" width="1.5703125" style="207" customWidth="1"/>
    <col min="10" max="16384" width="8.85546875" style="207"/>
  </cols>
  <sheetData>
    <row r="1" spans="1:9" x14ac:dyDescent="0.25">
      <c r="A1" s="206"/>
      <c r="B1" s="207" t="s">
        <v>1221</v>
      </c>
    </row>
    <row r="2" spans="1:9" x14ac:dyDescent="0.25">
      <c r="A2" s="206"/>
      <c r="B2" s="207" t="s">
        <v>1209</v>
      </c>
    </row>
    <row r="3" spans="1:9" x14ac:dyDescent="0.25">
      <c r="A3" s="206"/>
    </row>
    <row r="4" spans="1:9" x14ac:dyDescent="0.25">
      <c r="A4" s="206"/>
      <c r="D4" s="210">
        <v>2025</v>
      </c>
      <c r="F4" s="210">
        <v>2026</v>
      </c>
      <c r="H4" s="210" t="s">
        <v>1210</v>
      </c>
    </row>
    <row r="5" spans="1:9" x14ac:dyDescent="0.25">
      <c r="A5" s="206"/>
      <c r="D5" s="211" t="s">
        <v>1</v>
      </c>
      <c r="F5" s="211" t="s">
        <v>2</v>
      </c>
      <c r="H5" s="211" t="s">
        <v>3</v>
      </c>
    </row>
    <row r="6" spans="1:9" x14ac:dyDescent="0.25">
      <c r="A6" s="206"/>
    </row>
    <row r="7" spans="1:9" x14ac:dyDescent="0.25">
      <c r="A7" s="212" t="s">
        <v>870</v>
      </c>
      <c r="B7" s="213" t="s">
        <v>5</v>
      </c>
    </row>
    <row r="8" spans="1:9" x14ac:dyDescent="0.25">
      <c r="A8" s="206">
        <v>30</v>
      </c>
      <c r="B8" s="214" t="s">
        <v>6</v>
      </c>
      <c r="D8" s="215">
        <v>4347358</v>
      </c>
      <c r="F8" s="215">
        <v>5355860</v>
      </c>
      <c r="H8" s="215">
        <v>4341802.32</v>
      </c>
    </row>
    <row r="9" spans="1:9" x14ac:dyDescent="0.25">
      <c r="A9" s="206">
        <v>40</v>
      </c>
      <c r="B9" s="214" t="s">
        <v>7</v>
      </c>
      <c r="D9" s="216">
        <v>775</v>
      </c>
      <c r="E9" s="216"/>
      <c r="F9" s="216">
        <v>0</v>
      </c>
      <c r="G9" s="216"/>
      <c r="H9" s="216">
        <v>1300</v>
      </c>
      <c r="I9" s="216"/>
    </row>
    <row r="10" spans="1:9" x14ac:dyDescent="0.25">
      <c r="A10" s="206"/>
      <c r="B10" s="214"/>
      <c r="D10" s="217">
        <v>4348133</v>
      </c>
      <c r="F10" s="217">
        <v>5355860</v>
      </c>
      <c r="H10" s="217">
        <v>4343102.32</v>
      </c>
    </row>
    <row r="11" spans="1:9" x14ac:dyDescent="0.25">
      <c r="A11" s="206"/>
      <c r="D11" s="216"/>
      <c r="F11" s="216"/>
      <c r="H11" s="216"/>
    </row>
    <row r="12" spans="1:9" x14ac:dyDescent="0.25">
      <c r="A12" s="206"/>
      <c r="B12" s="213" t="s">
        <v>8</v>
      </c>
      <c r="H12" s="216"/>
    </row>
    <row r="13" spans="1:9" x14ac:dyDescent="0.25">
      <c r="A13" s="206">
        <v>100</v>
      </c>
      <c r="B13" s="214" t="s">
        <v>9</v>
      </c>
      <c r="D13" s="216">
        <v>2451155</v>
      </c>
      <c r="F13" s="216">
        <v>3017470.6666666665</v>
      </c>
      <c r="H13" s="216">
        <v>3119493.7569780196</v>
      </c>
    </row>
    <row r="14" spans="1:9" x14ac:dyDescent="0.25">
      <c r="A14" s="206">
        <v>200</v>
      </c>
      <c r="B14" s="214" t="s">
        <v>10</v>
      </c>
      <c r="D14" s="216">
        <v>960311</v>
      </c>
      <c r="F14" s="216">
        <v>869622.66666666674</v>
      </c>
      <c r="H14" s="216">
        <v>1170860.49</v>
      </c>
    </row>
    <row r="15" spans="1:9" x14ac:dyDescent="0.25">
      <c r="A15" s="206">
        <v>500</v>
      </c>
      <c r="B15" s="214" t="s">
        <v>11</v>
      </c>
      <c r="D15" s="216">
        <v>248740</v>
      </c>
      <c r="F15" s="216">
        <v>231841.33333333331</v>
      </c>
      <c r="H15" s="216">
        <v>264350</v>
      </c>
    </row>
    <row r="16" spans="1:9" x14ac:dyDescent="0.25">
      <c r="A16" s="206">
        <v>700</v>
      </c>
      <c r="B16" s="214" t="s">
        <v>12</v>
      </c>
      <c r="D16" s="216">
        <v>450618</v>
      </c>
      <c r="F16" s="216">
        <v>250344</v>
      </c>
      <c r="H16" s="216">
        <v>310882</v>
      </c>
    </row>
    <row r="17" spans="1:8" x14ac:dyDescent="0.25">
      <c r="A17" s="206">
        <v>600</v>
      </c>
      <c r="B17" s="214" t="s">
        <v>13</v>
      </c>
      <c r="D17" s="218">
        <v>0</v>
      </c>
      <c r="F17" s="218">
        <v>0</v>
      </c>
      <c r="H17" s="216">
        <v>0</v>
      </c>
    </row>
    <row r="18" spans="1:8" x14ac:dyDescent="0.25">
      <c r="A18" s="206"/>
      <c r="B18" s="219" t="s">
        <v>14</v>
      </c>
      <c r="D18" s="217">
        <v>4110824</v>
      </c>
      <c r="F18" s="217">
        <v>4369278.666666666</v>
      </c>
      <c r="H18" s="217">
        <v>4865586.2469780194</v>
      </c>
    </row>
    <row r="19" spans="1:8" x14ac:dyDescent="0.25">
      <c r="A19" s="206"/>
      <c r="B19" s="220" t="s">
        <v>15</v>
      </c>
      <c r="D19" s="216">
        <v>237309</v>
      </c>
      <c r="F19" s="216">
        <v>986581.33333333395</v>
      </c>
      <c r="H19" s="216">
        <v>-522483.92697801907</v>
      </c>
    </row>
    <row r="20" spans="1:8" x14ac:dyDescent="0.25">
      <c r="A20" s="206"/>
      <c r="D20" s="216"/>
      <c r="F20" s="216"/>
      <c r="H20" s="216"/>
    </row>
    <row r="21" spans="1:8" x14ac:dyDescent="0.25">
      <c r="A21" s="206"/>
      <c r="B21" s="213" t="s">
        <v>16</v>
      </c>
      <c r="D21" s="216"/>
      <c r="F21" s="216"/>
      <c r="H21" s="216"/>
    </row>
    <row r="22" spans="1:8" x14ac:dyDescent="0.25">
      <c r="A22" s="206">
        <v>950</v>
      </c>
      <c r="B22" s="214" t="s">
        <v>17</v>
      </c>
      <c r="D22" s="216">
        <v>205354</v>
      </c>
      <c r="F22" s="216">
        <v>180000</v>
      </c>
      <c r="H22" s="216">
        <v>165000</v>
      </c>
    </row>
    <row r="23" spans="1:8" x14ac:dyDescent="0.25">
      <c r="A23" s="206">
        <v>60</v>
      </c>
      <c r="B23" s="214" t="s">
        <v>18</v>
      </c>
      <c r="D23" s="216">
        <v>19533</v>
      </c>
      <c r="F23" s="216">
        <v>16686.666666666668</v>
      </c>
      <c r="H23" s="216">
        <v>15000</v>
      </c>
    </row>
    <row r="24" spans="1:8" x14ac:dyDescent="0.25">
      <c r="A24" s="206">
        <v>960</v>
      </c>
      <c r="B24" s="214" t="s">
        <v>19</v>
      </c>
      <c r="D24" s="218">
        <v>436435</v>
      </c>
      <c r="F24" s="216">
        <v>195165.33333333331</v>
      </c>
      <c r="H24" s="216">
        <v>202000</v>
      </c>
    </row>
    <row r="25" spans="1:8" x14ac:dyDescent="0.25">
      <c r="A25" s="206">
        <v>70</v>
      </c>
      <c r="B25" s="214" t="s">
        <v>20</v>
      </c>
      <c r="D25" s="216">
        <v>10009291</v>
      </c>
      <c r="F25" s="216">
        <v>51809.333333333328</v>
      </c>
      <c r="H25" s="216">
        <v>1515250</v>
      </c>
    </row>
    <row r="26" spans="1:8" x14ac:dyDescent="0.25">
      <c r="A26" s="206"/>
      <c r="B26" s="214" t="s">
        <v>21</v>
      </c>
      <c r="D26" s="218">
        <v>-39296</v>
      </c>
      <c r="F26" s="216">
        <v>0</v>
      </c>
      <c r="H26" s="216">
        <v>0</v>
      </c>
    </row>
    <row r="27" spans="1:8" x14ac:dyDescent="0.25">
      <c r="A27" s="206">
        <v>710</v>
      </c>
      <c r="B27" s="214" t="s">
        <v>1222</v>
      </c>
      <c r="D27" s="218">
        <v>0</v>
      </c>
      <c r="F27" s="216">
        <v>0</v>
      </c>
      <c r="H27" s="216">
        <v>0</v>
      </c>
    </row>
    <row r="28" spans="1:8" x14ac:dyDescent="0.25">
      <c r="A28" s="206">
        <v>620</v>
      </c>
      <c r="B28" s="214" t="s">
        <v>23</v>
      </c>
      <c r="D28" s="216">
        <v>-41359</v>
      </c>
      <c r="F28" s="216">
        <v>-96061</v>
      </c>
      <c r="H28" s="216">
        <v>-164178</v>
      </c>
    </row>
    <row r="29" spans="1:8" ht="21" customHeight="1" x14ac:dyDescent="0.25">
      <c r="A29" s="206"/>
      <c r="B29" s="219" t="s">
        <v>24</v>
      </c>
      <c r="D29" s="221">
        <v>10589958</v>
      </c>
      <c r="F29" s="221">
        <v>347600.33333333331</v>
      </c>
      <c r="H29" s="221">
        <v>1733072</v>
      </c>
    </row>
    <row r="30" spans="1:8" ht="21" customHeight="1" thickBot="1" x14ac:dyDescent="0.3">
      <c r="A30" s="206"/>
      <c r="B30" s="220" t="s">
        <v>25</v>
      </c>
      <c r="D30" s="222">
        <v>10827267</v>
      </c>
      <c r="F30" s="222">
        <v>1334181.6666666672</v>
      </c>
      <c r="H30" s="222">
        <v>1210588.0730219809</v>
      </c>
    </row>
    <row r="31" spans="1:8" ht="16.5" thickTop="1" x14ac:dyDescent="0.25">
      <c r="A31" s="206"/>
      <c r="B31" s="220"/>
      <c r="D31" s="223"/>
      <c r="F31" s="223"/>
      <c r="H31" s="223"/>
    </row>
    <row r="32" spans="1:8" x14ac:dyDescent="0.25">
      <c r="A32" s="206"/>
      <c r="B32" s="213" t="s">
        <v>1223</v>
      </c>
      <c r="D32" s="216"/>
      <c r="F32" s="216"/>
      <c r="H32" s="216"/>
    </row>
    <row r="33" spans="1:9" x14ac:dyDescent="0.25">
      <c r="A33" s="206"/>
      <c r="B33" s="214" t="s">
        <v>26</v>
      </c>
      <c r="D33" s="225">
        <v>-416209</v>
      </c>
      <c r="F33" s="225">
        <v>-366133.20999999996</v>
      </c>
      <c r="H33" s="225">
        <v>-162531.4</v>
      </c>
    </row>
    <row r="34" spans="1:9" x14ac:dyDescent="0.25">
      <c r="A34" s="206"/>
      <c r="B34" s="214" t="s">
        <v>22</v>
      </c>
      <c r="D34" s="216">
        <v>0</v>
      </c>
      <c r="F34" s="225">
        <v>-3094030.6666666665</v>
      </c>
      <c r="H34" s="225">
        <v>-3249000</v>
      </c>
    </row>
    <row r="35" spans="1:9" ht="21" customHeight="1" thickBot="1" x14ac:dyDescent="0.3">
      <c r="A35" s="206"/>
      <c r="B35" s="219" t="s">
        <v>27</v>
      </c>
      <c r="D35" s="222">
        <v>-416209</v>
      </c>
      <c r="F35" s="222">
        <v>-3460163.8766666665</v>
      </c>
      <c r="H35" s="222">
        <v>-3411531.4</v>
      </c>
    </row>
    <row r="36" spans="1:9" ht="16.5" thickTop="1" x14ac:dyDescent="0.25">
      <c r="A36" s="206"/>
      <c r="B36" s="220"/>
      <c r="D36" s="223"/>
      <c r="F36" s="223"/>
      <c r="H36" s="223"/>
    </row>
    <row r="37" spans="1:9" x14ac:dyDescent="0.25">
      <c r="A37" s="206"/>
      <c r="B37" s="213" t="s">
        <v>28</v>
      </c>
      <c r="C37" s="223"/>
      <c r="D37" s="223">
        <v>10411058</v>
      </c>
      <c r="E37" s="223"/>
      <c r="F37" s="223">
        <v>-2125982.209999999</v>
      </c>
      <c r="G37" s="223"/>
      <c r="H37" s="223">
        <v>-2200943.326978019</v>
      </c>
      <c r="I37" s="223"/>
    </row>
    <row r="38" spans="1:9" x14ac:dyDescent="0.25">
      <c r="A38" s="206"/>
      <c r="B38" s="213" t="s">
        <v>29</v>
      </c>
      <c r="C38" s="223"/>
      <c r="D38" s="218">
        <v>-10411058</v>
      </c>
      <c r="E38" s="218"/>
      <c r="F38" s="218">
        <v>2125982.209999999</v>
      </c>
      <c r="G38" s="218"/>
      <c r="H38" s="218">
        <v>2200943.326978019</v>
      </c>
      <c r="I38" s="223"/>
    </row>
    <row r="39" spans="1:9" ht="16.5" thickBot="1" x14ac:dyDescent="0.3">
      <c r="A39" s="206"/>
      <c r="B39" s="213" t="s">
        <v>30</v>
      </c>
      <c r="C39" s="223"/>
      <c r="D39" s="222">
        <v>0</v>
      </c>
      <c r="E39" s="223"/>
      <c r="F39" s="222">
        <v>0</v>
      </c>
      <c r="G39" s="223"/>
      <c r="H39" s="222">
        <v>0</v>
      </c>
      <c r="I39" s="223"/>
    </row>
    <row r="40" spans="1:9" ht="16.5" thickTop="1" x14ac:dyDescent="0.25">
      <c r="A40" s="206"/>
      <c r="B40" s="223"/>
      <c r="C40" s="223"/>
      <c r="D40" s="223"/>
      <c r="E40" s="223"/>
      <c r="F40" s="223"/>
      <c r="G40" s="223"/>
      <c r="H40" s="223"/>
      <c r="I40" s="223"/>
    </row>
  </sheetData>
  <pageMargins left="0.7" right="0.7" top="0.75" bottom="0.75" header="0.3" footer="0.3"/>
  <pageSetup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BBCA-8CAE-4D79-83AE-1F4EDB3DFBE5}">
  <sheetPr>
    <tabColor theme="3" tint="0.59999389629810485"/>
    <pageSetUpPr fitToPage="1"/>
  </sheetPr>
  <dimension ref="A1:T37"/>
  <sheetViews>
    <sheetView zoomScaleNormal="100" workbookViewId="0">
      <pane xSplit="3" ySplit="5" topLeftCell="D18" activePane="bottomRight" state="frozen"/>
      <selection activeCell="B2" sqref="B2"/>
      <selection pane="topRight" activeCell="B2" sqref="B2"/>
      <selection pane="bottomLeft" activeCell="B2" sqref="B2"/>
      <selection pane="bottomRight" sqref="A1:T36"/>
    </sheetView>
  </sheetViews>
  <sheetFormatPr defaultColWidth="8.85546875" defaultRowHeight="15.75" x14ac:dyDescent="0.25"/>
  <cols>
    <col min="1" max="1" width="13.42578125" style="207" bestFit="1" customWidth="1"/>
    <col min="2" max="2" width="39.85546875" style="207" customWidth="1"/>
    <col min="3" max="3" width="1.5703125" style="207" customWidth="1"/>
    <col min="4" max="4" width="15" style="207" hidden="1" customWidth="1"/>
    <col min="5" max="5" width="1.5703125" style="207" hidden="1" customWidth="1"/>
    <col min="6" max="6" width="14.42578125" style="208" hidden="1" customWidth="1"/>
    <col min="7" max="7" width="1.5703125" style="207" hidden="1" customWidth="1"/>
    <col min="8" max="8" width="14.42578125" style="208" hidden="1" customWidth="1"/>
    <col min="9" max="9" width="1.5703125" style="207" hidden="1" customWidth="1"/>
    <col min="10" max="10" width="14" style="207" bestFit="1" customWidth="1"/>
    <col min="11" max="11" width="1.5703125" style="207" customWidth="1"/>
    <col min="12" max="12" width="14" style="207" bestFit="1" customWidth="1"/>
    <col min="13" max="13" width="1.5703125" style="207" customWidth="1"/>
    <col min="14" max="14" width="13.5703125" style="207" bestFit="1" customWidth="1"/>
    <col min="15" max="15" width="1.5703125" style="207" customWidth="1"/>
    <col min="16" max="16" width="13.5703125" style="207" bestFit="1" customWidth="1"/>
    <col min="17" max="17" width="1.5703125" style="207" customWidth="1"/>
    <col min="18" max="18" width="13.5703125" style="207" bestFit="1" customWidth="1"/>
    <col min="19" max="19" width="1.5703125" style="207" customWidth="1"/>
    <col min="20" max="20" width="14.5703125" style="207" bestFit="1" customWidth="1"/>
    <col min="21" max="21" width="13.85546875" style="207" bestFit="1" customWidth="1"/>
    <col min="22" max="16384" width="8.85546875" style="207"/>
  </cols>
  <sheetData>
    <row r="1" spans="1:20" x14ac:dyDescent="0.25">
      <c r="A1" s="206"/>
      <c r="B1" s="207" t="s">
        <v>1221</v>
      </c>
    </row>
    <row r="2" spans="1:20" x14ac:dyDescent="0.25">
      <c r="A2" s="206"/>
      <c r="B2" s="207" t="s">
        <v>1211</v>
      </c>
    </row>
    <row r="3" spans="1:20" x14ac:dyDescent="0.25">
      <c r="A3" s="206"/>
    </row>
    <row r="4" spans="1:20" x14ac:dyDescent="0.25">
      <c r="A4" s="206"/>
      <c r="D4" s="209"/>
      <c r="E4" s="209"/>
      <c r="F4" s="210" t="s">
        <v>36</v>
      </c>
      <c r="G4" s="209"/>
      <c r="H4" s="210" t="s">
        <v>37</v>
      </c>
      <c r="I4" s="209"/>
      <c r="J4" s="210">
        <v>20</v>
      </c>
      <c r="K4" s="209"/>
      <c r="L4" s="210">
        <v>22</v>
      </c>
      <c r="M4" s="209"/>
      <c r="N4" s="209">
        <v>51</v>
      </c>
      <c r="O4" s="209"/>
      <c r="P4" s="209">
        <v>52</v>
      </c>
      <c r="Q4" s="209"/>
      <c r="R4" s="209">
        <v>53</v>
      </c>
    </row>
    <row r="5" spans="1:20" x14ac:dyDescent="0.25">
      <c r="A5" s="206"/>
      <c r="D5" s="211" t="s">
        <v>38</v>
      </c>
      <c r="E5" s="209"/>
      <c r="F5" s="211" t="s">
        <v>3</v>
      </c>
      <c r="G5" s="209"/>
      <c r="H5" s="211" t="s">
        <v>3</v>
      </c>
      <c r="I5" s="209"/>
      <c r="J5" s="211" t="s">
        <v>39</v>
      </c>
      <c r="L5" s="211" t="s">
        <v>979</v>
      </c>
      <c r="N5" s="211" t="s">
        <v>33</v>
      </c>
      <c r="O5" s="211"/>
      <c r="P5" s="211" t="s">
        <v>34</v>
      </c>
      <c r="Q5" s="211"/>
      <c r="R5" s="211" t="s">
        <v>40</v>
      </c>
      <c r="T5" s="211" t="s">
        <v>41</v>
      </c>
    </row>
    <row r="6" spans="1:20" x14ac:dyDescent="0.25">
      <c r="A6" s="206"/>
      <c r="D6" s="208"/>
    </row>
    <row r="7" spans="1:20" x14ac:dyDescent="0.25">
      <c r="A7" s="212"/>
      <c r="B7" s="213" t="s">
        <v>5</v>
      </c>
      <c r="D7" s="208"/>
    </row>
    <row r="8" spans="1:20" x14ac:dyDescent="0.25">
      <c r="A8" s="206">
        <v>30</v>
      </c>
      <c r="B8" s="214" t="s">
        <v>6</v>
      </c>
      <c r="D8" s="215">
        <v>1277132</v>
      </c>
      <c r="E8" s="216"/>
      <c r="F8" s="215">
        <v>1617868</v>
      </c>
      <c r="G8" s="216"/>
      <c r="H8" s="215">
        <v>-11400</v>
      </c>
      <c r="I8" s="216"/>
      <c r="J8" s="215">
        <v>1126000</v>
      </c>
      <c r="K8" s="215"/>
      <c r="L8" s="215">
        <v>2200000</v>
      </c>
      <c r="M8" s="215"/>
      <c r="N8" s="215">
        <v>752720</v>
      </c>
      <c r="O8" s="215"/>
      <c r="P8" s="215">
        <v>685480</v>
      </c>
      <c r="Q8" s="215"/>
      <c r="R8" s="215">
        <v>28500</v>
      </c>
      <c r="S8" s="215"/>
      <c r="T8" s="215">
        <v>4792700</v>
      </c>
    </row>
    <row r="9" spans="1:20" x14ac:dyDescent="0.25">
      <c r="A9" s="206">
        <v>40</v>
      </c>
      <c r="B9" s="214" t="s">
        <v>7</v>
      </c>
      <c r="D9" s="215"/>
      <c r="E9" s="216"/>
      <c r="F9" s="215"/>
      <c r="G9" s="216"/>
      <c r="H9" s="215"/>
      <c r="I9" s="216"/>
      <c r="J9" s="216">
        <v>1300</v>
      </c>
      <c r="K9" s="216"/>
      <c r="L9" s="216">
        <v>0</v>
      </c>
      <c r="M9" s="216"/>
      <c r="N9" s="216">
        <v>0</v>
      </c>
      <c r="O9" s="216"/>
      <c r="P9" s="216">
        <v>0</v>
      </c>
      <c r="Q9" s="216"/>
      <c r="R9" s="216">
        <v>0</v>
      </c>
      <c r="S9" s="216"/>
      <c r="T9" s="216">
        <v>1300</v>
      </c>
    </row>
    <row r="10" spans="1:20" x14ac:dyDescent="0.25">
      <c r="A10" s="206"/>
      <c r="B10" s="214"/>
      <c r="D10" s="217">
        <v>1277132</v>
      </c>
      <c r="E10" s="216"/>
      <c r="F10" s="217">
        <v>1617868</v>
      </c>
      <c r="G10" s="216"/>
      <c r="H10" s="217">
        <v>-11400</v>
      </c>
      <c r="I10" s="216"/>
      <c r="J10" s="217">
        <v>1127300</v>
      </c>
      <c r="K10" s="216"/>
      <c r="L10" s="217">
        <v>2200000</v>
      </c>
      <c r="M10" s="216"/>
      <c r="N10" s="217">
        <v>752720</v>
      </c>
      <c r="O10" s="216"/>
      <c r="P10" s="217">
        <v>685480</v>
      </c>
      <c r="Q10" s="216"/>
      <c r="R10" s="217">
        <v>28500</v>
      </c>
      <c r="S10" s="216"/>
      <c r="T10" s="217">
        <v>4794000</v>
      </c>
    </row>
    <row r="11" spans="1:20" x14ac:dyDescent="0.25">
      <c r="A11" s="20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</row>
    <row r="12" spans="1:20" x14ac:dyDescent="0.25">
      <c r="A12" s="206"/>
      <c r="B12" s="213" t="s">
        <v>8</v>
      </c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</row>
    <row r="13" spans="1:20" x14ac:dyDescent="0.25">
      <c r="A13" s="206">
        <v>100</v>
      </c>
      <c r="B13" s="214" t="s">
        <v>9</v>
      </c>
      <c r="D13" s="216">
        <v>538876</v>
      </c>
      <c r="E13" s="216"/>
      <c r="F13" s="216">
        <v>703532</v>
      </c>
      <c r="G13" s="216"/>
      <c r="H13" s="216">
        <v>247460</v>
      </c>
      <c r="I13" s="216"/>
      <c r="J13" s="216">
        <v>1341654.29</v>
      </c>
      <c r="K13" s="216"/>
      <c r="L13" s="216">
        <v>1017018</v>
      </c>
      <c r="M13" s="216"/>
      <c r="N13" s="216">
        <v>376046.5171385</v>
      </c>
      <c r="O13" s="216"/>
      <c r="P13" s="216">
        <v>376008.11713849998</v>
      </c>
      <c r="Q13" s="216"/>
      <c r="R13" s="216">
        <v>11680.549284040004</v>
      </c>
      <c r="S13" s="216"/>
      <c r="T13" s="216">
        <v>3122407.4735610397</v>
      </c>
    </row>
    <row r="14" spans="1:20" x14ac:dyDescent="0.25">
      <c r="A14" s="206">
        <v>200</v>
      </c>
      <c r="B14" s="214" t="s">
        <v>10</v>
      </c>
      <c r="D14" s="216">
        <v>278958</v>
      </c>
      <c r="E14" s="216"/>
      <c r="F14" s="216">
        <v>526999</v>
      </c>
      <c r="G14" s="216"/>
      <c r="H14" s="216">
        <v>47273</v>
      </c>
      <c r="I14" s="216"/>
      <c r="J14" s="216">
        <v>319871.51</v>
      </c>
      <c r="K14" s="216"/>
      <c r="L14" s="216">
        <v>212000</v>
      </c>
      <c r="M14" s="216"/>
      <c r="N14" s="216">
        <v>315300</v>
      </c>
      <c r="O14" s="216"/>
      <c r="P14" s="216">
        <v>322600</v>
      </c>
      <c r="Q14" s="216"/>
      <c r="R14" s="216">
        <v>18240</v>
      </c>
      <c r="S14" s="216"/>
      <c r="T14" s="216">
        <v>1188011.51</v>
      </c>
    </row>
    <row r="15" spans="1:20" x14ac:dyDescent="0.25">
      <c r="A15" s="206">
        <v>500</v>
      </c>
      <c r="B15" s="214" t="s">
        <v>11</v>
      </c>
      <c r="D15" s="216">
        <v>119175</v>
      </c>
      <c r="E15" s="216"/>
      <c r="F15" s="216">
        <v>0</v>
      </c>
      <c r="G15" s="216"/>
      <c r="H15" s="216">
        <v>298100</v>
      </c>
      <c r="I15" s="216"/>
      <c r="J15" s="216">
        <v>51070</v>
      </c>
      <c r="K15" s="216"/>
      <c r="L15" s="216">
        <v>57000</v>
      </c>
      <c r="M15" s="216"/>
      <c r="N15" s="216">
        <v>120350</v>
      </c>
      <c r="O15" s="216"/>
      <c r="P15" s="216">
        <v>53350</v>
      </c>
      <c r="Q15" s="216"/>
      <c r="R15" s="216">
        <v>4000</v>
      </c>
      <c r="S15" s="216"/>
      <c r="T15" s="216">
        <v>285770</v>
      </c>
    </row>
    <row r="16" spans="1:20" x14ac:dyDescent="0.25">
      <c r="A16" s="206">
        <v>700</v>
      </c>
      <c r="B16" s="214" t="s">
        <v>43</v>
      </c>
      <c r="D16" s="224">
        <v>58095</v>
      </c>
      <c r="E16" s="216"/>
      <c r="F16" s="224">
        <v>0</v>
      </c>
      <c r="G16" s="216"/>
      <c r="H16" s="224">
        <v>1300</v>
      </c>
      <c r="I16" s="216"/>
      <c r="J16" s="218">
        <v>110000</v>
      </c>
      <c r="K16" s="218"/>
      <c r="L16" s="218">
        <v>0</v>
      </c>
      <c r="M16" s="218"/>
      <c r="N16" s="218">
        <v>87202</v>
      </c>
      <c r="O16" s="218"/>
      <c r="P16" s="218">
        <v>111558</v>
      </c>
      <c r="Q16" s="218"/>
      <c r="R16" s="218">
        <v>2122</v>
      </c>
      <c r="S16" s="218"/>
      <c r="T16" s="218">
        <v>310882</v>
      </c>
    </row>
    <row r="17" spans="1:20" x14ac:dyDescent="0.25">
      <c r="A17" s="206">
        <v>600</v>
      </c>
      <c r="B17" s="214" t="s">
        <v>13</v>
      </c>
      <c r="D17" s="216"/>
      <c r="E17" s="216"/>
      <c r="F17" s="216"/>
      <c r="G17" s="216"/>
      <c r="H17" s="216"/>
      <c r="I17" s="216"/>
      <c r="J17" s="224">
        <v>0</v>
      </c>
      <c r="K17" s="216"/>
      <c r="L17" s="224">
        <v>0</v>
      </c>
      <c r="M17" s="216"/>
      <c r="N17" s="224">
        <v>0</v>
      </c>
      <c r="O17" s="216"/>
      <c r="P17" s="224">
        <v>0</v>
      </c>
      <c r="Q17" s="216"/>
      <c r="R17" s="224">
        <v>0</v>
      </c>
      <c r="S17" s="216"/>
      <c r="T17" s="224">
        <v>0</v>
      </c>
    </row>
    <row r="18" spans="1:20" x14ac:dyDescent="0.25">
      <c r="A18" s="206"/>
      <c r="B18" s="219" t="s">
        <v>14</v>
      </c>
      <c r="D18" s="216">
        <v>995104</v>
      </c>
      <c r="E18" s="216"/>
      <c r="F18" s="216">
        <v>1230531</v>
      </c>
      <c r="G18" s="216"/>
      <c r="H18" s="216">
        <v>594133</v>
      </c>
      <c r="I18" s="216"/>
      <c r="J18" s="216">
        <v>1822595.8</v>
      </c>
      <c r="K18" s="216"/>
      <c r="L18" s="216">
        <v>1286018</v>
      </c>
      <c r="M18" s="216"/>
      <c r="N18" s="216">
        <v>898898.5171385</v>
      </c>
      <c r="O18" s="216"/>
      <c r="P18" s="216">
        <v>863516.11713849998</v>
      </c>
      <c r="Q18" s="216"/>
      <c r="R18" s="216">
        <v>36042.549284040004</v>
      </c>
      <c r="S18" s="216"/>
      <c r="T18" s="216">
        <v>4907070.9835610399</v>
      </c>
    </row>
    <row r="19" spans="1:20" x14ac:dyDescent="0.25">
      <c r="A19" s="206"/>
      <c r="B19" s="220" t="s">
        <v>15</v>
      </c>
      <c r="D19" s="216">
        <v>282028</v>
      </c>
      <c r="E19" s="216"/>
      <c r="F19" s="216">
        <v>387337</v>
      </c>
      <c r="G19" s="216"/>
      <c r="H19" s="216">
        <v>-605533</v>
      </c>
      <c r="I19" s="216"/>
      <c r="J19" s="216">
        <v>-695295.8</v>
      </c>
      <c r="K19" s="216"/>
      <c r="L19" s="216">
        <v>913982</v>
      </c>
      <c r="M19" s="216"/>
      <c r="N19" s="216">
        <v>-146178.5171385</v>
      </c>
      <c r="O19" s="216"/>
      <c r="P19" s="216">
        <v>-178036.11713849998</v>
      </c>
      <c r="Q19" s="216"/>
      <c r="R19" s="216">
        <v>-7542.5492840400038</v>
      </c>
      <c r="S19" s="216"/>
      <c r="T19" s="216">
        <v>-113070.9835610399</v>
      </c>
    </row>
    <row r="20" spans="1:20" x14ac:dyDescent="0.25">
      <c r="A20" s="20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</row>
    <row r="21" spans="1:20" x14ac:dyDescent="0.25">
      <c r="A21" s="206"/>
      <c r="B21" s="213" t="s">
        <v>16</v>
      </c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</row>
    <row r="22" spans="1:20" x14ac:dyDescent="0.25">
      <c r="A22" s="206">
        <v>950</v>
      </c>
      <c r="B22" s="214" t="s">
        <v>17</v>
      </c>
      <c r="D22" s="216">
        <v>160986</v>
      </c>
      <c r="E22" s="216"/>
      <c r="F22" s="216">
        <v>145000</v>
      </c>
      <c r="G22" s="216"/>
      <c r="H22" s="216">
        <v>-65</v>
      </c>
      <c r="I22" s="216"/>
      <c r="J22" s="216">
        <v>85000</v>
      </c>
      <c r="K22" s="216"/>
      <c r="L22" s="216">
        <v>0</v>
      </c>
      <c r="M22" s="216"/>
      <c r="N22" s="216">
        <v>80000</v>
      </c>
      <c r="O22" s="216"/>
      <c r="P22" s="216">
        <v>0</v>
      </c>
      <c r="Q22" s="216"/>
      <c r="R22" s="216">
        <v>0</v>
      </c>
      <c r="S22" s="216"/>
      <c r="T22" s="216">
        <v>165000</v>
      </c>
    </row>
    <row r="23" spans="1:20" x14ac:dyDescent="0.25">
      <c r="A23" s="206">
        <v>60</v>
      </c>
      <c r="B23" s="214" t="s">
        <v>18</v>
      </c>
      <c r="D23" s="216">
        <v>62080</v>
      </c>
      <c r="E23" s="216"/>
      <c r="F23" s="216">
        <v>15000</v>
      </c>
      <c r="G23" s="216"/>
      <c r="H23" s="216">
        <v>-2400</v>
      </c>
      <c r="I23" s="216"/>
      <c r="J23" s="216">
        <v>15000</v>
      </c>
      <c r="K23" s="216"/>
      <c r="L23" s="216">
        <v>0</v>
      </c>
      <c r="M23" s="216"/>
      <c r="N23" s="216">
        <v>0</v>
      </c>
      <c r="O23" s="216"/>
      <c r="P23" s="216">
        <v>0</v>
      </c>
      <c r="Q23" s="216"/>
      <c r="R23" s="216">
        <v>0</v>
      </c>
      <c r="S23" s="216"/>
      <c r="T23" s="216">
        <v>15000</v>
      </c>
    </row>
    <row r="24" spans="1:20" x14ac:dyDescent="0.25">
      <c r="A24" s="206">
        <v>960</v>
      </c>
      <c r="B24" s="214" t="s">
        <v>19</v>
      </c>
      <c r="D24" s="218">
        <v>45267</v>
      </c>
      <c r="E24" s="218"/>
      <c r="F24" s="218">
        <v>8500</v>
      </c>
      <c r="G24" s="218"/>
      <c r="H24" s="218">
        <v>375400</v>
      </c>
      <c r="I24" s="218"/>
      <c r="J24" s="216">
        <v>39000</v>
      </c>
      <c r="K24" s="218"/>
      <c r="L24" s="216">
        <v>14000</v>
      </c>
      <c r="M24" s="216"/>
      <c r="N24" s="216">
        <v>100000</v>
      </c>
      <c r="O24" s="216"/>
      <c r="P24" s="216">
        <v>50000</v>
      </c>
      <c r="Q24" s="216"/>
      <c r="R24" s="216">
        <v>0</v>
      </c>
      <c r="S24" s="216"/>
      <c r="T24" s="216">
        <v>203000</v>
      </c>
    </row>
    <row r="25" spans="1:20" x14ac:dyDescent="0.25">
      <c r="A25" s="206">
        <v>70</v>
      </c>
      <c r="B25" s="214" t="s">
        <v>20</v>
      </c>
      <c r="D25" s="216">
        <v>0</v>
      </c>
      <c r="E25" s="216"/>
      <c r="F25" s="216">
        <v>0</v>
      </c>
      <c r="G25" s="216"/>
      <c r="H25" s="216">
        <v>0</v>
      </c>
      <c r="I25" s="216"/>
      <c r="J25" s="216">
        <v>100000</v>
      </c>
      <c r="K25" s="216"/>
      <c r="L25" s="216">
        <v>10000</v>
      </c>
      <c r="M25" s="216"/>
      <c r="N25" s="216">
        <v>0</v>
      </c>
      <c r="O25" s="216"/>
      <c r="P25" s="216">
        <v>2619841.59</v>
      </c>
      <c r="Q25" s="216"/>
      <c r="R25" s="216">
        <v>0</v>
      </c>
      <c r="S25" s="216"/>
      <c r="T25" s="216">
        <v>2729841.59</v>
      </c>
    </row>
    <row r="26" spans="1:20" x14ac:dyDescent="0.25">
      <c r="A26" s="206">
        <v>620</v>
      </c>
      <c r="B26" s="214" t="s">
        <v>23</v>
      </c>
      <c r="D26" s="216">
        <v>-137305</v>
      </c>
      <c r="E26" s="216"/>
      <c r="F26" s="216">
        <v>-458875</v>
      </c>
      <c r="G26" s="216"/>
      <c r="H26" s="216">
        <v>-21496</v>
      </c>
      <c r="I26" s="216"/>
      <c r="J26" s="224">
        <v>-9000</v>
      </c>
      <c r="K26" s="216"/>
      <c r="L26" s="224">
        <v>0</v>
      </c>
      <c r="M26" s="216"/>
      <c r="N26" s="224">
        <v>-91558</v>
      </c>
      <c r="O26" s="216"/>
      <c r="P26" s="224">
        <v>-63620</v>
      </c>
      <c r="Q26" s="216"/>
      <c r="R26" s="224">
        <v>0</v>
      </c>
      <c r="S26" s="216"/>
      <c r="T26" s="224">
        <v>-164178</v>
      </c>
    </row>
    <row r="27" spans="1:20" ht="21" customHeight="1" x14ac:dyDescent="0.25">
      <c r="A27" s="206"/>
      <c r="B27" s="219" t="s">
        <v>24</v>
      </c>
      <c r="D27" s="221">
        <v>131028</v>
      </c>
      <c r="E27" s="216"/>
      <c r="F27" s="221">
        <v>-290375</v>
      </c>
      <c r="G27" s="216"/>
      <c r="H27" s="221">
        <v>351439</v>
      </c>
      <c r="I27" s="216"/>
      <c r="J27" s="221">
        <v>230000</v>
      </c>
      <c r="K27" s="216"/>
      <c r="L27" s="221">
        <v>24000</v>
      </c>
      <c r="M27" s="216"/>
      <c r="N27" s="221">
        <v>88442</v>
      </c>
      <c r="O27" s="216"/>
      <c r="P27" s="221">
        <v>2606221.59</v>
      </c>
      <c r="Q27" s="216"/>
      <c r="R27" s="221">
        <v>0</v>
      </c>
      <c r="S27" s="216"/>
      <c r="T27" s="221">
        <v>2948663.59</v>
      </c>
    </row>
    <row r="28" spans="1:20" ht="21" customHeight="1" thickBot="1" x14ac:dyDescent="0.3">
      <c r="A28" s="206"/>
      <c r="B28" s="220" t="s">
        <v>25</v>
      </c>
      <c r="D28" s="222">
        <v>413056</v>
      </c>
      <c r="E28" s="216"/>
      <c r="F28" s="222">
        <v>96962</v>
      </c>
      <c r="G28" s="216"/>
      <c r="H28" s="222">
        <v>-254094</v>
      </c>
      <c r="I28" s="216"/>
      <c r="J28" s="222">
        <v>-465295.80000000005</v>
      </c>
      <c r="L28" s="222">
        <v>937982</v>
      </c>
      <c r="N28" s="222">
        <v>-57736.517138499999</v>
      </c>
      <c r="P28" s="222">
        <v>2428185.4728615</v>
      </c>
      <c r="R28" s="222">
        <v>-7542.5492840400038</v>
      </c>
      <c r="T28" s="222">
        <v>2835592.6064389599</v>
      </c>
    </row>
    <row r="29" spans="1:20" ht="16.5" thickTop="1" x14ac:dyDescent="0.25">
      <c r="A29" s="206"/>
      <c r="D29" s="216"/>
      <c r="E29" s="216"/>
      <c r="F29" s="216"/>
      <c r="G29" s="216"/>
      <c r="H29" s="216"/>
      <c r="I29" s="216"/>
      <c r="J29" s="216"/>
      <c r="L29" s="216"/>
      <c r="N29" s="216"/>
      <c r="P29" s="216"/>
      <c r="R29" s="216"/>
      <c r="T29" s="216"/>
    </row>
    <row r="30" spans="1:20" x14ac:dyDescent="0.25">
      <c r="A30" s="206"/>
      <c r="B30" s="213" t="s">
        <v>1223</v>
      </c>
      <c r="D30" s="216"/>
      <c r="E30" s="216"/>
      <c r="F30" s="216"/>
      <c r="G30" s="216"/>
      <c r="H30" s="216"/>
      <c r="I30" s="216"/>
      <c r="J30" s="216"/>
      <c r="L30" s="216"/>
      <c r="N30" s="216"/>
      <c r="P30" s="216"/>
      <c r="R30" s="216"/>
      <c r="T30" s="216"/>
    </row>
    <row r="31" spans="1:20" x14ac:dyDescent="0.25">
      <c r="A31" s="206">
        <v>970</v>
      </c>
      <c r="B31" s="214" t="s">
        <v>26</v>
      </c>
      <c r="D31" s="216">
        <v>380755</v>
      </c>
      <c r="E31" s="216"/>
      <c r="F31" s="216">
        <v>0</v>
      </c>
      <c r="G31" s="216"/>
      <c r="H31" s="216">
        <v>63118</v>
      </c>
      <c r="I31" s="216"/>
      <c r="J31" s="216">
        <v>-57808</v>
      </c>
      <c r="L31" s="216">
        <v>0</v>
      </c>
      <c r="N31" s="216">
        <v>-138000</v>
      </c>
      <c r="P31" s="216">
        <v>-170325.21</v>
      </c>
      <c r="R31" s="216">
        <v>0</v>
      </c>
      <c r="T31" s="216">
        <v>-366133.20999999996</v>
      </c>
    </row>
    <row r="32" spans="1:20" x14ac:dyDescent="0.25">
      <c r="A32" s="206">
        <v>710</v>
      </c>
      <c r="B32" s="214" t="s">
        <v>22</v>
      </c>
      <c r="D32" s="216">
        <v>1702811</v>
      </c>
      <c r="E32" s="216"/>
      <c r="F32" s="216">
        <v>5000</v>
      </c>
      <c r="G32" s="216"/>
      <c r="H32" s="216">
        <v>18200</v>
      </c>
      <c r="I32" s="216"/>
      <c r="J32" s="225">
        <v>0</v>
      </c>
      <c r="K32" s="226"/>
      <c r="L32" s="225">
        <v>-515000</v>
      </c>
      <c r="M32" s="225"/>
      <c r="N32" s="225">
        <v>-930000</v>
      </c>
      <c r="O32" s="225"/>
      <c r="P32" s="225">
        <v>-4580000</v>
      </c>
      <c r="Q32" s="225"/>
      <c r="R32" s="225">
        <v>0</v>
      </c>
      <c r="S32" s="225"/>
      <c r="T32" s="225">
        <v>-6025000</v>
      </c>
    </row>
    <row r="33" spans="1:20" ht="21" customHeight="1" thickBot="1" x14ac:dyDescent="0.3">
      <c r="A33" s="206"/>
      <c r="B33" s="219" t="s">
        <v>27</v>
      </c>
      <c r="D33" s="222">
        <v>2083566</v>
      </c>
      <c r="E33" s="216"/>
      <c r="F33" s="222">
        <v>5000</v>
      </c>
      <c r="G33" s="216"/>
      <c r="H33" s="222">
        <v>81318</v>
      </c>
      <c r="I33" s="216"/>
      <c r="J33" s="222">
        <v>-57808</v>
      </c>
      <c r="L33" s="222">
        <v>-515000</v>
      </c>
      <c r="N33" s="222">
        <v>-1068000</v>
      </c>
      <c r="P33" s="222">
        <v>-4750325.21</v>
      </c>
      <c r="R33" s="222">
        <v>0</v>
      </c>
      <c r="T33" s="222">
        <v>-6391133.21</v>
      </c>
    </row>
    <row r="34" spans="1:20" ht="21" customHeight="1" thickTop="1" x14ac:dyDescent="0.25">
      <c r="A34" s="206"/>
      <c r="B34" s="219"/>
      <c r="D34" s="223"/>
      <c r="E34" s="216"/>
      <c r="F34" s="223"/>
      <c r="G34" s="216"/>
      <c r="H34" s="223"/>
      <c r="I34" s="216"/>
      <c r="J34" s="223"/>
      <c r="L34" s="223"/>
      <c r="N34" s="223"/>
      <c r="P34" s="223"/>
      <c r="R34" s="223"/>
      <c r="T34" s="223"/>
    </row>
    <row r="35" spans="1:20" ht="21" customHeight="1" thickBot="1" x14ac:dyDescent="0.3">
      <c r="A35" s="206"/>
      <c r="B35" s="219" t="s">
        <v>1224</v>
      </c>
      <c r="D35" s="223"/>
      <c r="E35" s="216"/>
      <c r="F35" s="223"/>
      <c r="G35" s="216"/>
      <c r="H35" s="223"/>
      <c r="I35" s="216"/>
      <c r="J35" s="227">
        <v>-523103.80000000005</v>
      </c>
      <c r="L35" s="227">
        <v>422982</v>
      </c>
      <c r="N35" s="227">
        <v>-1125736.5171385</v>
      </c>
      <c r="P35" s="227">
        <v>-2322139.7371385</v>
      </c>
      <c r="R35" s="227">
        <v>-7542.5492840400038</v>
      </c>
      <c r="T35" s="227">
        <v>-3555540.60356104</v>
      </c>
    </row>
    <row r="36" spans="1:20" ht="21" customHeight="1" thickTop="1" x14ac:dyDescent="0.25">
      <c r="A36" s="206"/>
      <c r="B36" s="219"/>
      <c r="D36" s="223"/>
      <c r="E36" s="216"/>
      <c r="F36" s="223"/>
      <c r="G36" s="216"/>
      <c r="H36" s="223"/>
      <c r="I36" s="216"/>
      <c r="J36" s="223"/>
      <c r="L36" s="223"/>
      <c r="N36" s="223"/>
      <c r="P36" s="223"/>
      <c r="R36" s="223"/>
      <c r="T36" s="223"/>
    </row>
    <row r="37" spans="1:20" x14ac:dyDescent="0.25">
      <c r="A37" s="206"/>
      <c r="B37" s="219"/>
      <c r="D37" s="223"/>
      <c r="E37" s="216"/>
      <c r="F37" s="223"/>
      <c r="G37" s="216"/>
      <c r="H37" s="223"/>
      <c r="I37" s="216"/>
      <c r="J37" s="223"/>
      <c r="L37" s="223"/>
      <c r="N37" s="223"/>
      <c r="P37" s="223"/>
      <c r="R37" s="223"/>
      <c r="T37" s="223"/>
    </row>
  </sheetData>
  <pageMargins left="0.7" right="0.7" top="0.75" bottom="0.75" header="0.3" footer="0.3"/>
  <pageSetup scale="82" orientation="landscape" blackAndWhite="1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0B802-FE97-4F65-BA15-68A1EF2CCC5C}">
  <sheetPr>
    <tabColor theme="3" tint="0.59999389629810485"/>
    <pageSetUpPr fitToPage="1"/>
  </sheetPr>
  <dimension ref="A1:I40"/>
  <sheetViews>
    <sheetView zoomScaleNormal="100" workbookViewId="0">
      <pane xSplit="3" ySplit="5" topLeftCell="D24" activePane="bottomRight" state="frozen"/>
      <selection activeCell="B2" sqref="B2"/>
      <selection pane="topRight" activeCell="B2" sqref="B2"/>
      <selection pane="bottomLeft" activeCell="B2" sqref="B2"/>
      <selection pane="bottomRight" sqref="A1:H40"/>
    </sheetView>
  </sheetViews>
  <sheetFormatPr defaultColWidth="8.85546875" defaultRowHeight="15.75" x14ac:dyDescent="0.25"/>
  <cols>
    <col min="1" max="1" width="13.5703125" style="207" bestFit="1" customWidth="1"/>
    <col min="2" max="2" width="46.140625" style="207" customWidth="1"/>
    <col min="3" max="3" width="1.5703125" style="207" customWidth="1"/>
    <col min="4" max="4" width="14" style="207" customWidth="1"/>
    <col min="5" max="5" width="1.5703125" style="207" customWidth="1"/>
    <col min="6" max="6" width="14" style="207" customWidth="1"/>
    <col min="7" max="7" width="1.5703125" style="207" customWidth="1"/>
    <col min="8" max="8" width="15.140625" style="207" bestFit="1" customWidth="1"/>
    <col min="9" max="9" width="1.5703125" style="207" customWidth="1"/>
    <col min="10" max="16384" width="8.85546875" style="207"/>
  </cols>
  <sheetData>
    <row r="1" spans="1:9" x14ac:dyDescent="0.25">
      <c r="A1" s="206"/>
      <c r="B1" s="207" t="s">
        <v>1221</v>
      </c>
    </row>
    <row r="2" spans="1:9" x14ac:dyDescent="0.25">
      <c r="A2" s="206"/>
      <c r="B2" s="207" t="s">
        <v>1212</v>
      </c>
    </row>
    <row r="3" spans="1:9" x14ac:dyDescent="0.25">
      <c r="A3" s="206"/>
    </row>
    <row r="4" spans="1:9" x14ac:dyDescent="0.25">
      <c r="A4" s="206"/>
      <c r="D4" s="210">
        <v>2025</v>
      </c>
      <c r="F4" s="210">
        <v>2026</v>
      </c>
      <c r="H4" s="210" t="s">
        <v>942</v>
      </c>
    </row>
    <row r="5" spans="1:9" x14ac:dyDescent="0.25">
      <c r="A5" s="206"/>
      <c r="D5" s="211" t="s">
        <v>1</v>
      </c>
      <c r="F5" s="211" t="s">
        <v>2</v>
      </c>
      <c r="H5" s="211" t="s">
        <v>3</v>
      </c>
    </row>
    <row r="6" spans="1:9" x14ac:dyDescent="0.25">
      <c r="A6" s="206"/>
    </row>
    <row r="7" spans="1:9" x14ac:dyDescent="0.25">
      <c r="A7" s="212" t="s">
        <v>870</v>
      </c>
      <c r="B7" s="213" t="s">
        <v>5</v>
      </c>
    </row>
    <row r="8" spans="1:9" x14ac:dyDescent="0.25">
      <c r="A8" s="206">
        <v>30</v>
      </c>
      <c r="B8" s="214" t="s">
        <v>6</v>
      </c>
      <c r="D8" s="215">
        <v>4347358</v>
      </c>
      <c r="F8" s="215">
        <v>5355860</v>
      </c>
      <c r="H8" s="215">
        <v>4792700</v>
      </c>
    </row>
    <row r="9" spans="1:9" x14ac:dyDescent="0.25">
      <c r="A9" s="206">
        <v>40</v>
      </c>
      <c r="B9" s="214" t="s">
        <v>7</v>
      </c>
      <c r="D9" s="216">
        <v>775</v>
      </c>
      <c r="E9" s="216"/>
      <c r="F9" s="216">
        <v>0</v>
      </c>
      <c r="G9" s="216"/>
      <c r="H9" s="216">
        <v>1300</v>
      </c>
      <c r="I9" s="216"/>
    </row>
    <row r="10" spans="1:9" x14ac:dyDescent="0.25">
      <c r="A10" s="206"/>
      <c r="B10" s="214"/>
      <c r="D10" s="217">
        <v>4348133</v>
      </c>
      <c r="F10" s="217">
        <v>5355860</v>
      </c>
      <c r="H10" s="217">
        <v>4794000</v>
      </c>
    </row>
    <row r="11" spans="1:9" x14ac:dyDescent="0.25">
      <c r="A11" s="206"/>
      <c r="D11" s="216"/>
      <c r="F11" s="216"/>
      <c r="H11" s="216"/>
    </row>
    <row r="12" spans="1:9" x14ac:dyDescent="0.25">
      <c r="A12" s="206"/>
      <c r="B12" s="213" t="s">
        <v>8</v>
      </c>
      <c r="H12" s="216"/>
    </row>
    <row r="13" spans="1:9" x14ac:dyDescent="0.25">
      <c r="A13" s="206">
        <v>100</v>
      </c>
      <c r="B13" s="214" t="s">
        <v>9</v>
      </c>
      <c r="D13" s="216">
        <v>2451155</v>
      </c>
      <c r="F13" s="216">
        <v>3017470.6666666665</v>
      </c>
      <c r="H13" s="216">
        <v>3122407.4735610401</v>
      </c>
    </row>
    <row r="14" spans="1:9" x14ac:dyDescent="0.25">
      <c r="A14" s="206">
        <v>200</v>
      </c>
      <c r="B14" s="214" t="s">
        <v>10</v>
      </c>
      <c r="D14" s="216">
        <v>960311</v>
      </c>
      <c r="F14" s="216">
        <v>869622.66666666674</v>
      </c>
      <c r="H14" s="216">
        <v>1188011.51</v>
      </c>
    </row>
    <row r="15" spans="1:9" x14ac:dyDescent="0.25">
      <c r="A15" s="206">
        <v>500</v>
      </c>
      <c r="B15" s="214" t="s">
        <v>11</v>
      </c>
      <c r="D15" s="216">
        <v>248740</v>
      </c>
      <c r="F15" s="216">
        <v>231841.33333333331</v>
      </c>
      <c r="H15" s="216">
        <v>285770</v>
      </c>
    </row>
    <row r="16" spans="1:9" x14ac:dyDescent="0.25">
      <c r="A16" s="206">
        <v>700</v>
      </c>
      <c r="B16" s="214" t="s">
        <v>12</v>
      </c>
      <c r="D16" s="216">
        <v>450618</v>
      </c>
      <c r="F16" s="216">
        <v>250344</v>
      </c>
      <c r="H16" s="216">
        <v>310882</v>
      </c>
    </row>
    <row r="17" spans="1:8" x14ac:dyDescent="0.25">
      <c r="A17" s="206">
        <v>600</v>
      </c>
      <c r="B17" s="214" t="s">
        <v>13</v>
      </c>
      <c r="D17" s="218">
        <v>0</v>
      </c>
      <c r="F17" s="218">
        <v>0</v>
      </c>
      <c r="H17" s="216">
        <v>0</v>
      </c>
    </row>
    <row r="18" spans="1:8" x14ac:dyDescent="0.25">
      <c r="A18" s="206"/>
      <c r="B18" s="219" t="s">
        <v>14</v>
      </c>
      <c r="D18" s="217">
        <v>4110824</v>
      </c>
      <c r="F18" s="217">
        <v>4369278.666666666</v>
      </c>
      <c r="H18" s="217">
        <v>4907070.9835610399</v>
      </c>
    </row>
    <row r="19" spans="1:8" x14ac:dyDescent="0.25">
      <c r="A19" s="206"/>
      <c r="B19" s="220" t="s">
        <v>15</v>
      </c>
      <c r="D19" s="216">
        <v>237309</v>
      </c>
      <c r="F19" s="216">
        <v>986581.33333333395</v>
      </c>
      <c r="H19" s="216">
        <v>-113070.9835610399</v>
      </c>
    </row>
    <row r="20" spans="1:8" x14ac:dyDescent="0.25">
      <c r="A20" s="206"/>
      <c r="D20" s="216"/>
      <c r="F20" s="216"/>
      <c r="H20" s="216"/>
    </row>
    <row r="21" spans="1:8" x14ac:dyDescent="0.25">
      <c r="A21" s="206"/>
      <c r="B21" s="213" t="s">
        <v>16</v>
      </c>
      <c r="D21" s="216"/>
      <c r="F21" s="216"/>
      <c r="H21" s="216"/>
    </row>
    <row r="22" spans="1:8" x14ac:dyDescent="0.25">
      <c r="A22" s="206">
        <v>950</v>
      </c>
      <c r="B22" s="214" t="s">
        <v>17</v>
      </c>
      <c r="D22" s="216">
        <v>205354</v>
      </c>
      <c r="F22" s="216">
        <v>180000</v>
      </c>
      <c r="H22" s="216">
        <v>165000</v>
      </c>
    </row>
    <row r="23" spans="1:8" x14ac:dyDescent="0.25">
      <c r="A23" s="206">
        <v>60</v>
      </c>
      <c r="B23" s="214" t="s">
        <v>18</v>
      </c>
      <c r="D23" s="216">
        <v>19533</v>
      </c>
      <c r="F23" s="216">
        <v>16686.666666666668</v>
      </c>
      <c r="H23" s="216">
        <v>15000</v>
      </c>
    </row>
    <row r="24" spans="1:8" x14ac:dyDescent="0.25">
      <c r="A24" s="206">
        <v>960</v>
      </c>
      <c r="B24" s="214" t="s">
        <v>19</v>
      </c>
      <c r="D24" s="218">
        <v>436435</v>
      </c>
      <c r="F24" s="216">
        <v>195165.33333333331</v>
      </c>
      <c r="H24" s="216">
        <v>203000</v>
      </c>
    </row>
    <row r="25" spans="1:8" x14ac:dyDescent="0.25">
      <c r="A25" s="206">
        <v>70</v>
      </c>
      <c r="B25" s="214" t="s">
        <v>20</v>
      </c>
      <c r="D25" s="216">
        <v>10009291</v>
      </c>
      <c r="F25" s="216">
        <v>51809.333333333328</v>
      </c>
      <c r="H25" s="216">
        <v>2729841.59</v>
      </c>
    </row>
    <row r="26" spans="1:8" x14ac:dyDescent="0.25">
      <c r="A26" s="206"/>
      <c r="B26" s="214" t="s">
        <v>21</v>
      </c>
      <c r="D26" s="218">
        <v>-39296</v>
      </c>
      <c r="F26" s="216">
        <v>0</v>
      </c>
      <c r="H26" s="216">
        <v>0</v>
      </c>
    </row>
    <row r="27" spans="1:8" x14ac:dyDescent="0.25">
      <c r="A27" s="206">
        <v>710</v>
      </c>
      <c r="B27" s="214" t="s">
        <v>1222</v>
      </c>
      <c r="D27" s="218">
        <v>0</v>
      </c>
      <c r="F27" s="216">
        <v>0</v>
      </c>
      <c r="H27" s="216">
        <v>0</v>
      </c>
    </row>
    <row r="28" spans="1:8" x14ac:dyDescent="0.25">
      <c r="A28" s="206">
        <v>620</v>
      </c>
      <c r="B28" s="214" t="s">
        <v>23</v>
      </c>
      <c r="D28" s="216">
        <v>-41359</v>
      </c>
      <c r="F28" s="216">
        <v>-96061</v>
      </c>
      <c r="H28" s="216">
        <v>-164178</v>
      </c>
    </row>
    <row r="29" spans="1:8" ht="21" customHeight="1" x14ac:dyDescent="0.25">
      <c r="A29" s="206"/>
      <c r="B29" s="219" t="s">
        <v>24</v>
      </c>
      <c r="D29" s="221">
        <v>10589958</v>
      </c>
      <c r="F29" s="221">
        <v>347600.33333333331</v>
      </c>
      <c r="H29" s="221">
        <v>2948663.59</v>
      </c>
    </row>
    <row r="30" spans="1:8" ht="21" customHeight="1" thickBot="1" x14ac:dyDescent="0.3">
      <c r="A30" s="206"/>
      <c r="B30" s="220" t="s">
        <v>25</v>
      </c>
      <c r="D30" s="222">
        <v>10827267</v>
      </c>
      <c r="F30" s="222">
        <v>1334181.6666666672</v>
      </c>
      <c r="H30" s="222">
        <v>2835592.6064389599</v>
      </c>
    </row>
    <row r="31" spans="1:8" ht="16.5" thickTop="1" x14ac:dyDescent="0.25">
      <c r="A31" s="206"/>
      <c r="B31" s="220"/>
      <c r="D31" s="223"/>
      <c r="F31" s="223"/>
      <c r="H31" s="223"/>
    </row>
    <row r="32" spans="1:8" x14ac:dyDescent="0.25">
      <c r="A32" s="206"/>
      <c r="B32" s="213" t="s">
        <v>1223</v>
      </c>
      <c r="D32" s="216"/>
      <c r="F32" s="216"/>
      <c r="H32" s="216"/>
    </row>
    <row r="33" spans="1:9" x14ac:dyDescent="0.25">
      <c r="A33" s="206"/>
      <c r="B33" s="214" t="s">
        <v>26</v>
      </c>
      <c r="D33" s="225">
        <v>-416209</v>
      </c>
      <c r="F33" s="225">
        <v>-366133.20999999996</v>
      </c>
      <c r="H33" s="225">
        <v>-366133.20999999996</v>
      </c>
    </row>
    <row r="34" spans="1:9" x14ac:dyDescent="0.25">
      <c r="A34" s="206"/>
      <c r="B34" s="214" t="s">
        <v>22</v>
      </c>
      <c r="D34" s="225">
        <v>0</v>
      </c>
      <c r="F34" s="225">
        <v>-3094030.6666666665</v>
      </c>
      <c r="H34" s="225">
        <v>-6025000</v>
      </c>
    </row>
    <row r="35" spans="1:9" ht="21" customHeight="1" thickBot="1" x14ac:dyDescent="0.3">
      <c r="A35" s="206"/>
      <c r="B35" s="219" t="s">
        <v>27</v>
      </c>
      <c r="D35" s="222">
        <v>-416209</v>
      </c>
      <c r="F35" s="222">
        <v>-3460163.8766666665</v>
      </c>
      <c r="H35" s="222">
        <v>-6391133.21</v>
      </c>
    </row>
    <row r="36" spans="1:9" ht="16.5" thickTop="1" x14ac:dyDescent="0.25">
      <c r="A36" s="206"/>
      <c r="B36" s="220"/>
      <c r="D36" s="223"/>
      <c r="F36" s="223"/>
      <c r="H36" s="223"/>
    </row>
    <row r="37" spans="1:9" x14ac:dyDescent="0.25">
      <c r="A37" s="206"/>
      <c r="B37" s="213" t="s">
        <v>28</v>
      </c>
      <c r="C37" s="223"/>
      <c r="D37" s="223">
        <v>10411058</v>
      </c>
      <c r="E37" s="223"/>
      <c r="F37" s="223">
        <v>-2125982.209999999</v>
      </c>
      <c r="G37" s="223"/>
      <c r="H37" s="223">
        <v>-3555540.60356104</v>
      </c>
      <c r="I37" s="223"/>
    </row>
    <row r="38" spans="1:9" x14ac:dyDescent="0.25">
      <c r="A38" s="206"/>
      <c r="B38" s="213" t="s">
        <v>29</v>
      </c>
      <c r="C38" s="223"/>
      <c r="D38" s="218">
        <v>-10411058</v>
      </c>
      <c r="E38" s="218"/>
      <c r="F38" s="218">
        <v>2125982.209999999</v>
      </c>
      <c r="G38" s="218"/>
      <c r="H38" s="218">
        <v>3555540.60356104</v>
      </c>
      <c r="I38" s="223"/>
    </row>
    <row r="39" spans="1:9" ht="16.5" thickBot="1" x14ac:dyDescent="0.3">
      <c r="A39" s="206"/>
      <c r="B39" s="213" t="s">
        <v>30</v>
      </c>
      <c r="C39" s="223"/>
      <c r="D39" s="222">
        <v>0</v>
      </c>
      <c r="E39" s="223"/>
      <c r="F39" s="222">
        <v>0</v>
      </c>
      <c r="G39" s="223"/>
      <c r="H39" s="222">
        <v>0</v>
      </c>
      <c r="I39" s="223"/>
    </row>
    <row r="40" spans="1:9" ht="16.5" thickTop="1" x14ac:dyDescent="0.25">
      <c r="A40" s="206"/>
      <c r="B40" s="223"/>
      <c r="C40" s="223"/>
      <c r="D40" s="223"/>
      <c r="E40" s="223"/>
      <c r="F40" s="223"/>
      <c r="G40" s="223"/>
      <c r="H40" s="223"/>
      <c r="I40" s="223"/>
    </row>
  </sheetData>
  <pageMargins left="0.7" right="0.7" top="0.75" bottom="0.75" header="0.3" footer="0.3"/>
  <pageSetup scale="4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76FA-2BCC-421B-ABDD-C8A4EDBEF066}">
  <dimension ref="A1:L392"/>
  <sheetViews>
    <sheetView workbookViewId="0">
      <pane ySplit="1" topLeftCell="A2" activePane="bottomLeft" state="frozen"/>
      <selection pane="bottomLeft" activeCell="G1" sqref="G1"/>
    </sheetView>
  </sheetViews>
  <sheetFormatPr defaultRowHeight="15" x14ac:dyDescent="0.25"/>
  <cols>
    <col min="1" max="1" width="9.42578125" bestFit="1" customWidth="1"/>
    <col min="2" max="2" width="32.7109375" bestFit="1" customWidth="1"/>
    <col min="3" max="3" width="5.42578125" bestFit="1" customWidth="1"/>
    <col min="4" max="4" width="5.28515625" bestFit="1" customWidth="1"/>
    <col min="7" max="7" width="5.28515625" bestFit="1" customWidth="1"/>
    <col min="8" max="8" width="5.42578125" bestFit="1" customWidth="1"/>
    <col min="9" max="9" width="14.28515625" bestFit="1" customWidth="1"/>
    <col min="10" max="10" width="45.140625" bestFit="1" customWidth="1"/>
    <col min="11" max="11" width="20.7109375" bestFit="1" customWidth="1"/>
    <col min="12" max="12" width="33.42578125" bestFit="1" customWidth="1"/>
  </cols>
  <sheetData>
    <row r="1" spans="1:12" x14ac:dyDescent="0.25">
      <c r="A1" t="s">
        <v>44</v>
      </c>
      <c r="B1" t="s">
        <v>45</v>
      </c>
      <c r="C1" t="s">
        <v>46</v>
      </c>
      <c r="D1" t="s">
        <v>47</v>
      </c>
      <c r="G1" t="s">
        <v>47</v>
      </c>
      <c r="H1" t="s">
        <v>46</v>
      </c>
      <c r="I1" t="s">
        <v>870</v>
      </c>
      <c r="J1" t="s">
        <v>871</v>
      </c>
      <c r="K1" t="s">
        <v>878</v>
      </c>
      <c r="L1" t="s">
        <v>879</v>
      </c>
    </row>
    <row r="2" spans="1:12" x14ac:dyDescent="0.25">
      <c r="A2" t="s">
        <v>165</v>
      </c>
      <c r="B2" t="s">
        <v>49</v>
      </c>
      <c r="C2">
        <v>20</v>
      </c>
      <c r="D2" t="s">
        <v>50</v>
      </c>
      <c r="G2" t="s">
        <v>50</v>
      </c>
      <c r="H2">
        <v>20</v>
      </c>
      <c r="I2">
        <v>10000</v>
      </c>
      <c r="J2" t="s">
        <v>1029</v>
      </c>
      <c r="K2" t="s">
        <v>165</v>
      </c>
      <c r="L2" t="s">
        <v>49</v>
      </c>
    </row>
    <row r="3" spans="1:12" x14ac:dyDescent="0.25">
      <c r="A3" t="s">
        <v>166</v>
      </c>
      <c r="B3" t="s">
        <v>52</v>
      </c>
      <c r="C3">
        <v>20</v>
      </c>
      <c r="D3" t="s">
        <v>50</v>
      </c>
      <c r="G3" t="s">
        <v>50</v>
      </c>
      <c r="H3">
        <v>20</v>
      </c>
      <c r="I3">
        <v>10000</v>
      </c>
      <c r="J3" t="s">
        <v>1029</v>
      </c>
      <c r="K3" t="s">
        <v>166</v>
      </c>
      <c r="L3" t="s">
        <v>52</v>
      </c>
    </row>
    <row r="4" spans="1:12" x14ac:dyDescent="0.25">
      <c r="A4" t="s">
        <v>167</v>
      </c>
      <c r="B4" t="s">
        <v>168</v>
      </c>
      <c r="C4">
        <v>20</v>
      </c>
      <c r="D4" t="s">
        <v>50</v>
      </c>
      <c r="G4" t="s">
        <v>50</v>
      </c>
      <c r="H4">
        <v>20</v>
      </c>
      <c r="I4">
        <v>16200</v>
      </c>
      <c r="J4" t="s">
        <v>1074</v>
      </c>
      <c r="K4" t="s">
        <v>167</v>
      </c>
      <c r="L4" t="s">
        <v>1031</v>
      </c>
    </row>
    <row r="5" spans="1:12" x14ac:dyDescent="0.25">
      <c r="A5" t="s">
        <v>169</v>
      </c>
      <c r="B5" t="s">
        <v>170</v>
      </c>
      <c r="C5">
        <v>20</v>
      </c>
      <c r="D5" t="s">
        <v>50</v>
      </c>
      <c r="G5" t="s">
        <v>50</v>
      </c>
      <c r="H5">
        <v>20</v>
      </c>
      <c r="I5">
        <v>10000</v>
      </c>
      <c r="J5" t="s">
        <v>1029</v>
      </c>
      <c r="K5" t="s">
        <v>169</v>
      </c>
      <c r="L5" t="s">
        <v>170</v>
      </c>
    </row>
    <row r="6" spans="1:12" x14ac:dyDescent="0.25">
      <c r="A6" t="s">
        <v>171</v>
      </c>
      <c r="B6" t="s">
        <v>172</v>
      </c>
      <c r="C6">
        <v>20</v>
      </c>
      <c r="D6" t="s">
        <v>50</v>
      </c>
      <c r="G6" t="s">
        <v>50</v>
      </c>
      <c r="H6">
        <v>20</v>
      </c>
      <c r="I6">
        <v>16200</v>
      </c>
      <c r="J6" t="s">
        <v>1074</v>
      </c>
      <c r="K6" t="s">
        <v>171</v>
      </c>
      <c r="L6" t="s">
        <v>172</v>
      </c>
    </row>
    <row r="7" spans="1:12" x14ac:dyDescent="0.25">
      <c r="A7" t="s">
        <v>173</v>
      </c>
      <c r="B7" t="s">
        <v>174</v>
      </c>
      <c r="C7">
        <v>20</v>
      </c>
      <c r="D7" t="s">
        <v>50</v>
      </c>
      <c r="G7" t="s">
        <v>50</v>
      </c>
      <c r="H7">
        <v>20</v>
      </c>
      <c r="I7">
        <v>10000</v>
      </c>
      <c r="J7" t="s">
        <v>1029</v>
      </c>
      <c r="K7" t="s">
        <v>173</v>
      </c>
      <c r="L7" t="s">
        <v>174</v>
      </c>
    </row>
    <row r="8" spans="1:12" x14ac:dyDescent="0.25">
      <c r="A8" t="s">
        <v>175</v>
      </c>
      <c r="B8" t="s">
        <v>54</v>
      </c>
      <c r="C8">
        <v>20</v>
      </c>
      <c r="D8" t="s">
        <v>50</v>
      </c>
      <c r="G8" t="s">
        <v>50</v>
      </c>
      <c r="H8">
        <v>20</v>
      </c>
      <c r="I8">
        <v>11500</v>
      </c>
      <c r="J8" t="s">
        <v>54</v>
      </c>
      <c r="K8" t="s">
        <v>175</v>
      </c>
      <c r="L8" t="s">
        <v>54</v>
      </c>
    </row>
    <row r="9" spans="1:12" x14ac:dyDescent="0.25">
      <c r="A9" t="s">
        <v>176</v>
      </c>
      <c r="B9" t="s">
        <v>177</v>
      </c>
      <c r="C9">
        <v>20</v>
      </c>
      <c r="D9" t="s">
        <v>50</v>
      </c>
      <c r="G9" t="s">
        <v>50</v>
      </c>
      <c r="H9">
        <v>20</v>
      </c>
      <c r="I9">
        <v>11510</v>
      </c>
      <c r="J9" t="s">
        <v>177</v>
      </c>
      <c r="K9" t="s">
        <v>176</v>
      </c>
      <c r="L9" t="s">
        <v>177</v>
      </c>
    </row>
    <row r="10" spans="1:12" x14ac:dyDescent="0.25">
      <c r="A10" t="s">
        <v>178</v>
      </c>
      <c r="B10" t="s">
        <v>179</v>
      </c>
      <c r="C10">
        <v>20</v>
      </c>
      <c r="D10" t="s">
        <v>50</v>
      </c>
      <c r="G10" t="s">
        <v>50</v>
      </c>
      <c r="H10">
        <v>20</v>
      </c>
      <c r="I10">
        <v>11500</v>
      </c>
      <c r="J10" t="s">
        <v>54</v>
      </c>
      <c r="K10" t="s">
        <v>178</v>
      </c>
      <c r="L10" t="s">
        <v>179</v>
      </c>
    </row>
    <row r="11" spans="1:12" x14ac:dyDescent="0.25">
      <c r="A11" t="s">
        <v>180</v>
      </c>
      <c r="B11" t="s">
        <v>56</v>
      </c>
      <c r="C11">
        <v>20</v>
      </c>
      <c r="D11" t="s">
        <v>50</v>
      </c>
      <c r="G11" t="s">
        <v>50</v>
      </c>
      <c r="H11">
        <v>20</v>
      </c>
      <c r="I11">
        <v>14300</v>
      </c>
      <c r="J11" t="s">
        <v>56</v>
      </c>
      <c r="K11" t="s">
        <v>180</v>
      </c>
      <c r="L11" t="s">
        <v>56</v>
      </c>
    </row>
    <row r="12" spans="1:12" x14ac:dyDescent="0.25">
      <c r="A12" t="s">
        <v>181</v>
      </c>
      <c r="B12" t="s">
        <v>58</v>
      </c>
      <c r="C12">
        <v>20</v>
      </c>
      <c r="D12" t="s">
        <v>50</v>
      </c>
      <c r="G12" t="s">
        <v>50</v>
      </c>
      <c r="H12">
        <v>20</v>
      </c>
      <c r="I12">
        <v>16320</v>
      </c>
      <c r="J12" t="s">
        <v>796</v>
      </c>
      <c r="K12" t="s">
        <v>181</v>
      </c>
      <c r="L12" t="s">
        <v>58</v>
      </c>
    </row>
    <row r="13" spans="1:12" x14ac:dyDescent="0.25">
      <c r="A13" t="s">
        <v>182</v>
      </c>
      <c r="B13" t="s">
        <v>60</v>
      </c>
      <c r="C13">
        <v>20</v>
      </c>
      <c r="D13" t="s">
        <v>50</v>
      </c>
      <c r="G13" t="s">
        <v>50</v>
      </c>
      <c r="H13">
        <v>20</v>
      </c>
      <c r="I13">
        <v>16350</v>
      </c>
      <c r="J13" t="s">
        <v>60</v>
      </c>
      <c r="K13" t="s">
        <v>182</v>
      </c>
      <c r="L13" t="s">
        <v>60</v>
      </c>
    </row>
    <row r="14" spans="1:12" x14ac:dyDescent="0.25">
      <c r="A14" t="s">
        <v>183</v>
      </c>
      <c r="B14" t="s">
        <v>184</v>
      </c>
      <c r="C14">
        <v>20</v>
      </c>
      <c r="D14" t="s">
        <v>50</v>
      </c>
      <c r="G14" t="s">
        <v>50</v>
      </c>
      <c r="H14">
        <v>20</v>
      </c>
      <c r="I14">
        <v>16320</v>
      </c>
      <c r="J14" t="s">
        <v>796</v>
      </c>
      <c r="K14" t="s">
        <v>183</v>
      </c>
      <c r="L14" t="s">
        <v>184</v>
      </c>
    </row>
    <row r="15" spans="1:12" x14ac:dyDescent="0.25">
      <c r="A15" t="s">
        <v>185</v>
      </c>
      <c r="B15" t="s">
        <v>186</v>
      </c>
      <c r="C15">
        <v>20</v>
      </c>
      <c r="D15" t="s">
        <v>50</v>
      </c>
      <c r="G15" t="s">
        <v>50</v>
      </c>
      <c r="H15">
        <v>20</v>
      </c>
      <c r="I15">
        <v>16320</v>
      </c>
      <c r="J15" t="s">
        <v>796</v>
      </c>
      <c r="K15" t="s">
        <v>185</v>
      </c>
      <c r="L15" t="s">
        <v>186</v>
      </c>
    </row>
    <row r="16" spans="1:12" x14ac:dyDescent="0.25">
      <c r="A16" t="s">
        <v>187</v>
      </c>
      <c r="B16" t="s">
        <v>188</v>
      </c>
      <c r="C16">
        <v>20</v>
      </c>
      <c r="D16" t="s">
        <v>50</v>
      </c>
      <c r="G16" t="s">
        <v>50</v>
      </c>
      <c r="H16">
        <v>20</v>
      </c>
      <c r="I16">
        <v>16330</v>
      </c>
      <c r="J16" t="s">
        <v>1032</v>
      </c>
      <c r="K16" t="s">
        <v>187</v>
      </c>
      <c r="L16" t="s">
        <v>188</v>
      </c>
    </row>
    <row r="17" spans="1:12" x14ac:dyDescent="0.25">
      <c r="A17" t="s">
        <v>189</v>
      </c>
      <c r="B17" t="s">
        <v>190</v>
      </c>
      <c r="C17">
        <v>20</v>
      </c>
      <c r="D17" t="s">
        <v>50</v>
      </c>
      <c r="G17" t="s">
        <v>50</v>
      </c>
      <c r="H17">
        <v>20</v>
      </c>
      <c r="I17">
        <v>16330</v>
      </c>
      <c r="J17" t="s">
        <v>1032</v>
      </c>
      <c r="K17" t="s">
        <v>189</v>
      </c>
      <c r="L17" t="s">
        <v>190</v>
      </c>
    </row>
    <row r="18" spans="1:12" x14ac:dyDescent="0.25">
      <c r="A18" t="s">
        <v>191</v>
      </c>
      <c r="B18" t="s">
        <v>192</v>
      </c>
      <c r="C18">
        <v>20</v>
      </c>
      <c r="D18" t="s">
        <v>50</v>
      </c>
      <c r="G18" t="s">
        <v>50</v>
      </c>
      <c r="H18">
        <v>20</v>
      </c>
      <c r="I18">
        <v>16330</v>
      </c>
      <c r="J18" t="s">
        <v>1032</v>
      </c>
      <c r="K18" t="s">
        <v>191</v>
      </c>
      <c r="L18" t="s">
        <v>192</v>
      </c>
    </row>
    <row r="19" spans="1:12" x14ac:dyDescent="0.25">
      <c r="A19" t="s">
        <v>193</v>
      </c>
      <c r="B19" t="s">
        <v>194</v>
      </c>
      <c r="C19">
        <v>20</v>
      </c>
      <c r="D19" t="s">
        <v>50</v>
      </c>
      <c r="G19" t="s">
        <v>50</v>
      </c>
      <c r="H19">
        <v>20</v>
      </c>
      <c r="I19">
        <v>16320</v>
      </c>
      <c r="J19" t="s">
        <v>796</v>
      </c>
      <c r="K19" t="s">
        <v>193</v>
      </c>
      <c r="L19" t="s">
        <v>194</v>
      </c>
    </row>
    <row r="20" spans="1:12" x14ac:dyDescent="0.25">
      <c r="A20" t="s">
        <v>195</v>
      </c>
      <c r="B20" t="s">
        <v>196</v>
      </c>
      <c r="C20">
        <v>20</v>
      </c>
      <c r="D20" t="s">
        <v>50</v>
      </c>
      <c r="G20" t="s">
        <v>50</v>
      </c>
      <c r="H20">
        <v>20</v>
      </c>
      <c r="I20">
        <v>16500</v>
      </c>
      <c r="J20" t="s">
        <v>1033</v>
      </c>
      <c r="K20" t="s">
        <v>1034</v>
      </c>
      <c r="L20" t="s">
        <v>1035</v>
      </c>
    </row>
    <row r="21" spans="1:12" x14ac:dyDescent="0.25">
      <c r="A21" t="s">
        <v>197</v>
      </c>
      <c r="B21" t="s">
        <v>198</v>
      </c>
      <c r="C21">
        <v>20</v>
      </c>
      <c r="D21" t="s">
        <v>50</v>
      </c>
      <c r="G21" t="s">
        <v>50</v>
      </c>
      <c r="H21">
        <v>20</v>
      </c>
      <c r="I21">
        <v>16500</v>
      </c>
      <c r="J21" t="s">
        <v>1033</v>
      </c>
      <c r="K21" t="s">
        <v>1036</v>
      </c>
      <c r="L21" t="s">
        <v>1037</v>
      </c>
    </row>
    <row r="22" spans="1:12" x14ac:dyDescent="0.25">
      <c r="A22" t="s">
        <v>199</v>
      </c>
      <c r="B22" t="s">
        <v>64</v>
      </c>
      <c r="C22">
        <v>20</v>
      </c>
      <c r="D22" t="s">
        <v>50</v>
      </c>
      <c r="G22" t="s">
        <v>50</v>
      </c>
      <c r="H22">
        <v>20</v>
      </c>
      <c r="I22">
        <v>16600</v>
      </c>
      <c r="J22" t="s">
        <v>547</v>
      </c>
      <c r="K22" t="s">
        <v>195</v>
      </c>
      <c r="L22" t="s">
        <v>196</v>
      </c>
    </row>
    <row r="23" spans="1:12" x14ac:dyDescent="0.25">
      <c r="A23" t="s">
        <v>200</v>
      </c>
      <c r="B23" t="s">
        <v>201</v>
      </c>
      <c r="C23">
        <v>20</v>
      </c>
      <c r="D23" t="s">
        <v>50</v>
      </c>
      <c r="G23" t="s">
        <v>50</v>
      </c>
      <c r="H23">
        <v>20</v>
      </c>
      <c r="I23">
        <v>16800</v>
      </c>
      <c r="J23" t="s">
        <v>1038</v>
      </c>
      <c r="K23" t="s">
        <v>1039</v>
      </c>
      <c r="L23" t="s">
        <v>1038</v>
      </c>
    </row>
    <row r="24" spans="1:12" x14ac:dyDescent="0.25">
      <c r="A24" t="s">
        <v>202</v>
      </c>
      <c r="B24" t="s">
        <v>68</v>
      </c>
      <c r="C24">
        <v>20</v>
      </c>
      <c r="D24" t="s">
        <v>50</v>
      </c>
      <c r="G24" t="s">
        <v>50</v>
      </c>
      <c r="H24">
        <v>20</v>
      </c>
      <c r="I24">
        <v>16900</v>
      </c>
      <c r="J24" t="s">
        <v>198</v>
      </c>
      <c r="K24" t="s">
        <v>197</v>
      </c>
      <c r="L24" t="s">
        <v>198</v>
      </c>
    </row>
    <row r="25" spans="1:12" x14ac:dyDescent="0.25">
      <c r="A25" t="s">
        <v>203</v>
      </c>
      <c r="B25" t="s">
        <v>70</v>
      </c>
      <c r="C25">
        <v>20</v>
      </c>
      <c r="D25" t="s">
        <v>71</v>
      </c>
      <c r="G25" t="s">
        <v>50</v>
      </c>
      <c r="H25">
        <v>20</v>
      </c>
      <c r="I25">
        <v>17000</v>
      </c>
      <c r="J25" t="s">
        <v>64</v>
      </c>
      <c r="K25" t="s">
        <v>199</v>
      </c>
      <c r="L25" t="s">
        <v>64</v>
      </c>
    </row>
    <row r="26" spans="1:12" x14ac:dyDescent="0.25">
      <c r="A26" t="s">
        <v>204</v>
      </c>
      <c r="B26" t="s">
        <v>205</v>
      </c>
      <c r="C26">
        <v>20</v>
      </c>
      <c r="D26" t="s">
        <v>71</v>
      </c>
      <c r="G26" t="s">
        <v>50</v>
      </c>
      <c r="H26">
        <v>20</v>
      </c>
      <c r="I26">
        <v>17010</v>
      </c>
      <c r="J26" t="s">
        <v>66</v>
      </c>
      <c r="K26" t="s">
        <v>200</v>
      </c>
      <c r="L26" t="s">
        <v>201</v>
      </c>
    </row>
    <row r="27" spans="1:12" x14ac:dyDescent="0.25">
      <c r="A27" t="s">
        <v>206</v>
      </c>
      <c r="B27" t="s">
        <v>73</v>
      </c>
      <c r="C27">
        <v>20</v>
      </c>
      <c r="D27" t="s">
        <v>71</v>
      </c>
      <c r="G27" t="s">
        <v>50</v>
      </c>
      <c r="H27">
        <v>20</v>
      </c>
      <c r="I27">
        <v>17010</v>
      </c>
      <c r="J27" t="s">
        <v>66</v>
      </c>
      <c r="K27" t="s">
        <v>202</v>
      </c>
      <c r="L27" t="s">
        <v>68</v>
      </c>
    </row>
    <row r="28" spans="1:12" x14ac:dyDescent="0.25">
      <c r="A28" t="s">
        <v>207</v>
      </c>
      <c r="B28" t="s">
        <v>208</v>
      </c>
      <c r="C28">
        <v>20</v>
      </c>
      <c r="D28" t="s">
        <v>71</v>
      </c>
      <c r="G28" t="s">
        <v>71</v>
      </c>
      <c r="H28">
        <v>20</v>
      </c>
      <c r="I28">
        <v>21100</v>
      </c>
      <c r="J28" t="s">
        <v>70</v>
      </c>
      <c r="K28" t="s">
        <v>203</v>
      </c>
      <c r="L28" t="s">
        <v>70</v>
      </c>
    </row>
    <row r="29" spans="1:12" x14ac:dyDescent="0.25">
      <c r="A29" t="s">
        <v>209</v>
      </c>
      <c r="B29" t="s">
        <v>210</v>
      </c>
      <c r="C29">
        <v>20</v>
      </c>
      <c r="D29" t="s">
        <v>71</v>
      </c>
      <c r="G29" t="s">
        <v>71</v>
      </c>
      <c r="H29">
        <v>20</v>
      </c>
      <c r="I29">
        <v>21100</v>
      </c>
      <c r="J29" t="s">
        <v>70</v>
      </c>
      <c r="K29" t="s">
        <v>204</v>
      </c>
      <c r="L29" t="s">
        <v>1177</v>
      </c>
    </row>
    <row r="30" spans="1:12" x14ac:dyDescent="0.25">
      <c r="A30" t="s">
        <v>211</v>
      </c>
      <c r="B30" t="s">
        <v>79</v>
      </c>
      <c r="C30">
        <v>20</v>
      </c>
      <c r="D30" t="s">
        <v>71</v>
      </c>
      <c r="G30" t="s">
        <v>71</v>
      </c>
      <c r="H30">
        <v>20</v>
      </c>
      <c r="I30">
        <v>22200</v>
      </c>
      <c r="J30" t="s">
        <v>1040</v>
      </c>
      <c r="K30" t="s">
        <v>206</v>
      </c>
      <c r="L30" t="s">
        <v>73</v>
      </c>
    </row>
    <row r="31" spans="1:12" x14ac:dyDescent="0.25">
      <c r="A31" t="s">
        <v>212</v>
      </c>
      <c r="B31" t="s">
        <v>213</v>
      </c>
      <c r="C31">
        <v>20</v>
      </c>
      <c r="D31" t="s">
        <v>71</v>
      </c>
      <c r="G31" t="s">
        <v>71</v>
      </c>
      <c r="H31">
        <v>20</v>
      </c>
      <c r="I31">
        <v>22200</v>
      </c>
      <c r="J31" t="s">
        <v>1040</v>
      </c>
      <c r="K31" t="s">
        <v>207</v>
      </c>
      <c r="L31" t="s">
        <v>208</v>
      </c>
    </row>
    <row r="32" spans="1:12" x14ac:dyDescent="0.25">
      <c r="A32" t="s">
        <v>214</v>
      </c>
      <c r="B32" t="s">
        <v>215</v>
      </c>
      <c r="C32">
        <v>20</v>
      </c>
      <c r="D32" t="s">
        <v>71</v>
      </c>
      <c r="G32" t="s">
        <v>71</v>
      </c>
      <c r="H32">
        <v>20</v>
      </c>
      <c r="I32">
        <v>22200</v>
      </c>
      <c r="J32" t="s">
        <v>1040</v>
      </c>
      <c r="K32" t="s">
        <v>209</v>
      </c>
      <c r="L32" t="s">
        <v>210</v>
      </c>
    </row>
    <row r="33" spans="1:12" x14ac:dyDescent="0.25">
      <c r="A33" t="s">
        <v>216</v>
      </c>
      <c r="B33" t="s">
        <v>217</v>
      </c>
      <c r="C33">
        <v>20</v>
      </c>
      <c r="D33" t="s">
        <v>71</v>
      </c>
      <c r="G33" t="s">
        <v>71</v>
      </c>
      <c r="H33">
        <v>20</v>
      </c>
      <c r="I33">
        <v>28560</v>
      </c>
      <c r="J33" t="s">
        <v>79</v>
      </c>
      <c r="K33" t="s">
        <v>211</v>
      </c>
      <c r="L33" t="s">
        <v>79</v>
      </c>
    </row>
    <row r="34" spans="1:12" x14ac:dyDescent="0.25">
      <c r="A34" t="s">
        <v>218</v>
      </c>
      <c r="B34" t="s">
        <v>219</v>
      </c>
      <c r="C34">
        <v>20</v>
      </c>
      <c r="D34" t="s">
        <v>71</v>
      </c>
      <c r="G34" t="s">
        <v>71</v>
      </c>
      <c r="H34">
        <v>20</v>
      </c>
      <c r="I34">
        <v>22520</v>
      </c>
      <c r="J34" t="s">
        <v>1041</v>
      </c>
      <c r="K34" t="s">
        <v>212</v>
      </c>
      <c r="L34" t="s">
        <v>213</v>
      </c>
    </row>
    <row r="35" spans="1:12" x14ac:dyDescent="0.25">
      <c r="A35" t="s">
        <v>220</v>
      </c>
      <c r="B35" t="s">
        <v>221</v>
      </c>
      <c r="C35">
        <v>20</v>
      </c>
      <c r="D35" t="s">
        <v>71</v>
      </c>
      <c r="G35" t="s">
        <v>71</v>
      </c>
      <c r="H35">
        <v>20</v>
      </c>
      <c r="I35">
        <v>22200</v>
      </c>
      <c r="J35" t="s">
        <v>1040</v>
      </c>
      <c r="K35" t="s">
        <v>214</v>
      </c>
      <c r="L35" t="s">
        <v>215</v>
      </c>
    </row>
    <row r="36" spans="1:12" x14ac:dyDescent="0.25">
      <c r="A36" t="s">
        <v>222</v>
      </c>
      <c r="B36" t="s">
        <v>89</v>
      </c>
      <c r="C36">
        <v>20</v>
      </c>
      <c r="D36" t="s">
        <v>71</v>
      </c>
      <c r="G36" t="s">
        <v>71</v>
      </c>
      <c r="H36">
        <v>20</v>
      </c>
      <c r="I36">
        <v>22200</v>
      </c>
      <c r="J36" t="s">
        <v>1040</v>
      </c>
      <c r="K36" t="s">
        <v>216</v>
      </c>
      <c r="L36" t="s">
        <v>217</v>
      </c>
    </row>
    <row r="37" spans="1:12" x14ac:dyDescent="0.25">
      <c r="A37" t="s">
        <v>223</v>
      </c>
      <c r="B37" t="s">
        <v>224</v>
      </c>
      <c r="C37">
        <v>20</v>
      </c>
      <c r="D37" t="s">
        <v>71</v>
      </c>
      <c r="G37" t="s">
        <v>71</v>
      </c>
      <c r="H37">
        <v>20</v>
      </c>
      <c r="I37">
        <v>22200</v>
      </c>
      <c r="J37" t="s">
        <v>1040</v>
      </c>
      <c r="K37" t="s">
        <v>218</v>
      </c>
      <c r="L37" t="s">
        <v>219</v>
      </c>
    </row>
    <row r="38" spans="1:12" x14ac:dyDescent="0.25">
      <c r="A38" t="s">
        <v>225</v>
      </c>
      <c r="B38" t="s">
        <v>91</v>
      </c>
      <c r="C38">
        <v>20</v>
      </c>
      <c r="D38" t="s">
        <v>71</v>
      </c>
      <c r="G38" t="s">
        <v>71</v>
      </c>
      <c r="H38">
        <v>20</v>
      </c>
      <c r="I38">
        <v>23000</v>
      </c>
      <c r="J38" t="s">
        <v>221</v>
      </c>
      <c r="K38" t="s">
        <v>220</v>
      </c>
      <c r="L38" t="s">
        <v>221</v>
      </c>
    </row>
    <row r="39" spans="1:12" x14ac:dyDescent="0.25">
      <c r="A39" t="s">
        <v>226</v>
      </c>
      <c r="B39" t="s">
        <v>227</v>
      </c>
      <c r="C39">
        <v>20</v>
      </c>
      <c r="D39" t="s">
        <v>71</v>
      </c>
      <c r="G39" t="s">
        <v>71</v>
      </c>
      <c r="H39">
        <v>20</v>
      </c>
      <c r="I39">
        <v>22200</v>
      </c>
      <c r="J39" t="s">
        <v>1040</v>
      </c>
      <c r="K39" t="s">
        <v>222</v>
      </c>
      <c r="L39" t="s">
        <v>89</v>
      </c>
    </row>
    <row r="40" spans="1:12" x14ac:dyDescent="0.25">
      <c r="A40" t="s">
        <v>228</v>
      </c>
      <c r="B40" t="s">
        <v>229</v>
      </c>
      <c r="C40">
        <v>20</v>
      </c>
      <c r="D40" t="s">
        <v>71</v>
      </c>
      <c r="G40" t="s">
        <v>71</v>
      </c>
      <c r="H40">
        <v>20</v>
      </c>
      <c r="I40">
        <v>22250</v>
      </c>
      <c r="J40" t="s">
        <v>1178</v>
      </c>
      <c r="K40" t="s">
        <v>223</v>
      </c>
      <c r="L40" t="s">
        <v>1178</v>
      </c>
    </row>
    <row r="41" spans="1:12" x14ac:dyDescent="0.25">
      <c r="A41" t="s">
        <v>230</v>
      </c>
      <c r="B41" t="s">
        <v>231</v>
      </c>
      <c r="C41">
        <v>20</v>
      </c>
      <c r="D41" t="s">
        <v>71</v>
      </c>
      <c r="G41" t="s">
        <v>71</v>
      </c>
      <c r="H41">
        <v>20</v>
      </c>
      <c r="I41">
        <v>0</v>
      </c>
      <c r="J41" t="e">
        <v>#N/A</v>
      </c>
      <c r="K41" t="s">
        <v>225</v>
      </c>
      <c r="L41" t="s">
        <v>91</v>
      </c>
    </row>
    <row r="42" spans="1:12" x14ac:dyDescent="0.25">
      <c r="A42" t="s">
        <v>232</v>
      </c>
      <c r="B42" t="s">
        <v>233</v>
      </c>
      <c r="C42">
        <v>20</v>
      </c>
      <c r="D42" t="s">
        <v>71</v>
      </c>
      <c r="G42" t="s">
        <v>71</v>
      </c>
      <c r="H42">
        <v>20</v>
      </c>
      <c r="I42">
        <v>28000</v>
      </c>
      <c r="J42" t="s">
        <v>227</v>
      </c>
      <c r="K42" t="s">
        <v>226</v>
      </c>
      <c r="L42" t="s">
        <v>227</v>
      </c>
    </row>
    <row r="43" spans="1:12" x14ac:dyDescent="0.25">
      <c r="A43" t="s">
        <v>234</v>
      </c>
      <c r="B43" t="s">
        <v>235</v>
      </c>
      <c r="C43">
        <v>20</v>
      </c>
      <c r="D43" t="s">
        <v>71</v>
      </c>
      <c r="G43" t="s">
        <v>71</v>
      </c>
      <c r="H43">
        <v>20</v>
      </c>
      <c r="I43">
        <v>28510</v>
      </c>
      <c r="J43" t="s">
        <v>1179</v>
      </c>
      <c r="K43" t="s">
        <v>228</v>
      </c>
      <c r="L43" t="s">
        <v>229</v>
      </c>
    </row>
    <row r="44" spans="1:12" x14ac:dyDescent="0.25">
      <c r="A44" t="s">
        <v>236</v>
      </c>
      <c r="B44" t="s">
        <v>237</v>
      </c>
      <c r="C44">
        <v>20</v>
      </c>
      <c r="D44" t="s">
        <v>71</v>
      </c>
      <c r="G44" t="s">
        <v>71</v>
      </c>
      <c r="H44">
        <v>20</v>
      </c>
      <c r="I44">
        <v>28505</v>
      </c>
      <c r="J44" t="s">
        <v>1043</v>
      </c>
      <c r="K44" t="s">
        <v>230</v>
      </c>
      <c r="L44" t="s">
        <v>231</v>
      </c>
    </row>
    <row r="45" spans="1:12" x14ac:dyDescent="0.25">
      <c r="A45" t="s">
        <v>238</v>
      </c>
      <c r="B45" t="s">
        <v>235</v>
      </c>
      <c r="C45">
        <v>20</v>
      </c>
      <c r="D45" t="s">
        <v>71</v>
      </c>
      <c r="G45" t="s">
        <v>71</v>
      </c>
      <c r="H45">
        <v>20</v>
      </c>
      <c r="I45">
        <v>28520</v>
      </c>
      <c r="J45" t="s">
        <v>1180</v>
      </c>
      <c r="K45" t="s">
        <v>232</v>
      </c>
      <c r="L45" t="s">
        <v>233</v>
      </c>
    </row>
    <row r="46" spans="1:12" x14ac:dyDescent="0.25">
      <c r="A46" t="s">
        <v>239</v>
      </c>
      <c r="B46" t="s">
        <v>240</v>
      </c>
      <c r="C46">
        <v>20</v>
      </c>
      <c r="D46" t="s">
        <v>71</v>
      </c>
      <c r="G46" t="s">
        <v>71</v>
      </c>
      <c r="H46">
        <v>20</v>
      </c>
      <c r="I46">
        <v>28521</v>
      </c>
      <c r="J46" t="s">
        <v>1045</v>
      </c>
      <c r="K46" t="s">
        <v>234</v>
      </c>
      <c r="L46" t="s">
        <v>235</v>
      </c>
    </row>
    <row r="47" spans="1:12" x14ac:dyDescent="0.25">
      <c r="A47" t="s">
        <v>241</v>
      </c>
      <c r="B47" t="s">
        <v>242</v>
      </c>
      <c r="C47">
        <v>20</v>
      </c>
      <c r="D47" t="s">
        <v>71</v>
      </c>
      <c r="G47" t="s">
        <v>71</v>
      </c>
      <c r="H47">
        <v>20</v>
      </c>
      <c r="I47">
        <v>28505</v>
      </c>
      <c r="J47" t="s">
        <v>1043</v>
      </c>
      <c r="K47" t="s">
        <v>238</v>
      </c>
      <c r="L47" t="s">
        <v>1181</v>
      </c>
    </row>
    <row r="48" spans="1:12" x14ac:dyDescent="0.25">
      <c r="A48" t="s">
        <v>243</v>
      </c>
      <c r="B48" t="s">
        <v>244</v>
      </c>
      <c r="C48">
        <v>20</v>
      </c>
      <c r="D48" t="s">
        <v>71</v>
      </c>
      <c r="G48" t="s">
        <v>71</v>
      </c>
      <c r="H48">
        <v>20</v>
      </c>
      <c r="I48">
        <v>28540</v>
      </c>
      <c r="J48" t="s">
        <v>1182</v>
      </c>
      <c r="K48" t="s">
        <v>239</v>
      </c>
      <c r="L48" t="s">
        <v>1047</v>
      </c>
    </row>
    <row r="49" spans="1:12" x14ac:dyDescent="0.25">
      <c r="A49" t="s">
        <v>245</v>
      </c>
      <c r="B49" t="s">
        <v>246</v>
      </c>
      <c r="C49">
        <v>20</v>
      </c>
      <c r="D49" t="s">
        <v>94</v>
      </c>
      <c r="G49" t="s">
        <v>71</v>
      </c>
      <c r="H49">
        <v>20</v>
      </c>
      <c r="I49">
        <v>28541</v>
      </c>
      <c r="J49" t="s">
        <v>1048</v>
      </c>
      <c r="K49" t="s">
        <v>241</v>
      </c>
      <c r="L49" t="s">
        <v>242</v>
      </c>
    </row>
    <row r="50" spans="1:12" x14ac:dyDescent="0.25">
      <c r="A50" t="s">
        <v>247</v>
      </c>
      <c r="B50" t="s">
        <v>248</v>
      </c>
      <c r="C50">
        <v>20</v>
      </c>
      <c r="D50" t="s">
        <v>97</v>
      </c>
      <c r="G50" t="s">
        <v>71</v>
      </c>
      <c r="H50">
        <v>20</v>
      </c>
      <c r="I50">
        <v>28510</v>
      </c>
      <c r="J50" t="s">
        <v>1179</v>
      </c>
      <c r="K50" t="s">
        <v>243</v>
      </c>
      <c r="L50" t="s">
        <v>244</v>
      </c>
    </row>
    <row r="51" spans="1:12" x14ac:dyDescent="0.25">
      <c r="A51" t="s">
        <v>249</v>
      </c>
      <c r="B51" t="s">
        <v>250</v>
      </c>
      <c r="C51">
        <v>20</v>
      </c>
      <c r="D51" t="s">
        <v>97</v>
      </c>
      <c r="G51" t="s">
        <v>1049</v>
      </c>
      <c r="H51">
        <v>20</v>
      </c>
      <c r="I51">
        <v>29100</v>
      </c>
      <c r="J51" t="s">
        <v>1050</v>
      </c>
      <c r="K51" t="s">
        <v>245</v>
      </c>
      <c r="L51" t="s">
        <v>246</v>
      </c>
    </row>
    <row r="52" spans="1:12" x14ac:dyDescent="0.25">
      <c r="A52" t="s">
        <v>251</v>
      </c>
      <c r="B52" t="s">
        <v>252</v>
      </c>
      <c r="C52">
        <v>20</v>
      </c>
      <c r="D52" t="s">
        <v>97</v>
      </c>
      <c r="G52" t="s">
        <v>97</v>
      </c>
      <c r="H52">
        <v>20</v>
      </c>
      <c r="I52">
        <v>30</v>
      </c>
      <c r="J52" t="s">
        <v>6</v>
      </c>
      <c r="K52" t="s">
        <v>247</v>
      </c>
      <c r="L52" t="s">
        <v>248</v>
      </c>
    </row>
    <row r="53" spans="1:12" x14ac:dyDescent="0.25">
      <c r="A53" t="s">
        <v>253</v>
      </c>
      <c r="B53" t="s">
        <v>254</v>
      </c>
      <c r="C53">
        <v>20</v>
      </c>
      <c r="D53" t="s">
        <v>97</v>
      </c>
      <c r="G53" t="s">
        <v>97</v>
      </c>
      <c r="H53">
        <v>20</v>
      </c>
      <c r="I53">
        <v>30</v>
      </c>
      <c r="J53" t="s">
        <v>6</v>
      </c>
      <c r="K53" t="s">
        <v>249</v>
      </c>
      <c r="L53" t="s">
        <v>250</v>
      </c>
    </row>
    <row r="54" spans="1:12" x14ac:dyDescent="0.25">
      <c r="A54" t="s">
        <v>255</v>
      </c>
      <c r="B54" t="s">
        <v>256</v>
      </c>
      <c r="C54">
        <v>20</v>
      </c>
      <c r="D54" t="s">
        <v>97</v>
      </c>
      <c r="G54" t="s">
        <v>97</v>
      </c>
      <c r="H54">
        <v>20</v>
      </c>
      <c r="I54">
        <v>70</v>
      </c>
      <c r="J54" t="s">
        <v>20</v>
      </c>
      <c r="K54" t="s">
        <v>251</v>
      </c>
      <c r="L54" t="s">
        <v>252</v>
      </c>
    </row>
    <row r="55" spans="1:12" x14ac:dyDescent="0.25">
      <c r="A55" t="s">
        <v>257</v>
      </c>
      <c r="B55" t="s">
        <v>99</v>
      </c>
      <c r="C55">
        <v>20</v>
      </c>
      <c r="D55" t="s">
        <v>97</v>
      </c>
      <c r="G55" t="s">
        <v>97</v>
      </c>
      <c r="H55">
        <v>20</v>
      </c>
      <c r="I55">
        <v>30</v>
      </c>
      <c r="J55" t="s">
        <v>6</v>
      </c>
      <c r="K55" t="s">
        <v>253</v>
      </c>
      <c r="L55" t="s">
        <v>254</v>
      </c>
    </row>
    <row r="56" spans="1:12" x14ac:dyDescent="0.25">
      <c r="A56" t="s">
        <v>258</v>
      </c>
      <c r="B56" t="s">
        <v>259</v>
      </c>
      <c r="C56">
        <v>20</v>
      </c>
      <c r="D56" t="s">
        <v>97</v>
      </c>
      <c r="G56" t="s">
        <v>97</v>
      </c>
      <c r="H56">
        <v>20</v>
      </c>
      <c r="I56">
        <v>960</v>
      </c>
      <c r="J56" t="s">
        <v>19</v>
      </c>
      <c r="K56" t="s">
        <v>255</v>
      </c>
      <c r="L56" t="s">
        <v>256</v>
      </c>
    </row>
    <row r="57" spans="1:12" x14ac:dyDescent="0.25">
      <c r="A57" t="s">
        <v>260</v>
      </c>
      <c r="B57" t="s">
        <v>261</v>
      </c>
      <c r="C57">
        <v>20</v>
      </c>
      <c r="D57" t="s">
        <v>97</v>
      </c>
      <c r="G57" t="s">
        <v>97</v>
      </c>
      <c r="H57">
        <v>20</v>
      </c>
      <c r="I57">
        <v>40</v>
      </c>
      <c r="J57" t="s">
        <v>881</v>
      </c>
      <c r="K57" t="s">
        <v>257</v>
      </c>
      <c r="L57" t="s">
        <v>99</v>
      </c>
    </row>
    <row r="58" spans="1:12" x14ac:dyDescent="0.25">
      <c r="A58" t="s">
        <v>262</v>
      </c>
      <c r="B58" t="s">
        <v>263</v>
      </c>
      <c r="C58">
        <v>20</v>
      </c>
      <c r="D58" t="s">
        <v>97</v>
      </c>
      <c r="G58" t="s">
        <v>97</v>
      </c>
      <c r="H58">
        <v>20</v>
      </c>
      <c r="I58">
        <v>950</v>
      </c>
      <c r="J58" t="s">
        <v>17</v>
      </c>
      <c r="K58" t="s">
        <v>258</v>
      </c>
      <c r="L58" t="s">
        <v>259</v>
      </c>
    </row>
    <row r="59" spans="1:12" x14ac:dyDescent="0.25">
      <c r="A59" t="s">
        <v>264</v>
      </c>
      <c r="B59" t="s">
        <v>265</v>
      </c>
      <c r="C59">
        <v>20</v>
      </c>
      <c r="D59" t="s">
        <v>97</v>
      </c>
      <c r="G59" t="s">
        <v>97</v>
      </c>
      <c r="H59">
        <v>20</v>
      </c>
      <c r="I59">
        <v>960</v>
      </c>
      <c r="J59" t="s">
        <v>19</v>
      </c>
      <c r="K59" t="s">
        <v>260</v>
      </c>
      <c r="L59" t="s">
        <v>261</v>
      </c>
    </row>
    <row r="60" spans="1:12" x14ac:dyDescent="0.25">
      <c r="A60" t="s">
        <v>266</v>
      </c>
      <c r="B60" t="s">
        <v>267</v>
      </c>
      <c r="C60">
        <v>20</v>
      </c>
      <c r="D60" t="s">
        <v>97</v>
      </c>
      <c r="G60" t="s">
        <v>97</v>
      </c>
      <c r="H60">
        <v>20</v>
      </c>
      <c r="I60">
        <v>60</v>
      </c>
      <c r="J60" t="s">
        <v>18</v>
      </c>
      <c r="K60" t="s">
        <v>262</v>
      </c>
      <c r="L60" t="s">
        <v>263</v>
      </c>
    </row>
    <row r="61" spans="1:12" x14ac:dyDescent="0.25">
      <c r="A61" t="s">
        <v>268</v>
      </c>
      <c r="B61" t="s">
        <v>101</v>
      </c>
      <c r="C61">
        <v>20</v>
      </c>
      <c r="D61" t="s">
        <v>102</v>
      </c>
      <c r="G61" t="s">
        <v>97</v>
      </c>
      <c r="H61">
        <v>20</v>
      </c>
      <c r="I61">
        <v>30</v>
      </c>
      <c r="J61" t="s">
        <v>6</v>
      </c>
      <c r="K61" t="s">
        <v>264</v>
      </c>
      <c r="L61" t="s">
        <v>1051</v>
      </c>
    </row>
    <row r="62" spans="1:12" x14ac:dyDescent="0.25">
      <c r="A62" t="s">
        <v>269</v>
      </c>
      <c r="B62" t="s">
        <v>104</v>
      </c>
      <c r="C62">
        <v>20</v>
      </c>
      <c r="D62" t="s">
        <v>102</v>
      </c>
      <c r="G62" t="s">
        <v>97</v>
      </c>
      <c r="H62">
        <v>20</v>
      </c>
      <c r="J62" t="e">
        <v>#N/A</v>
      </c>
      <c r="K62" t="s">
        <v>266</v>
      </c>
      <c r="L62" t="s">
        <v>267</v>
      </c>
    </row>
    <row r="63" spans="1:12" x14ac:dyDescent="0.25">
      <c r="A63" t="s">
        <v>270</v>
      </c>
      <c r="B63" t="s">
        <v>106</v>
      </c>
      <c r="C63">
        <v>20</v>
      </c>
      <c r="D63" t="s">
        <v>102</v>
      </c>
      <c r="G63" t="s">
        <v>102</v>
      </c>
      <c r="H63">
        <v>20</v>
      </c>
      <c r="I63">
        <v>100</v>
      </c>
      <c r="J63" t="s">
        <v>9</v>
      </c>
      <c r="K63" t="s">
        <v>268</v>
      </c>
      <c r="L63" t="s">
        <v>101</v>
      </c>
    </row>
    <row r="64" spans="1:12" x14ac:dyDescent="0.25">
      <c r="A64" t="s">
        <v>271</v>
      </c>
      <c r="B64" t="s">
        <v>108</v>
      </c>
      <c r="C64">
        <v>20</v>
      </c>
      <c r="D64" t="s">
        <v>102</v>
      </c>
      <c r="G64" t="s">
        <v>102</v>
      </c>
      <c r="H64">
        <v>20</v>
      </c>
      <c r="I64">
        <v>100</v>
      </c>
      <c r="J64" t="s">
        <v>9</v>
      </c>
      <c r="K64" t="s">
        <v>269</v>
      </c>
      <c r="L64" t="s">
        <v>104</v>
      </c>
    </row>
    <row r="65" spans="1:12" x14ac:dyDescent="0.25">
      <c r="A65" t="s">
        <v>272</v>
      </c>
      <c r="B65" t="s">
        <v>110</v>
      </c>
      <c r="C65">
        <v>20</v>
      </c>
      <c r="D65" t="s">
        <v>102</v>
      </c>
      <c r="G65" t="s">
        <v>102</v>
      </c>
      <c r="H65">
        <v>20</v>
      </c>
      <c r="I65">
        <v>100</v>
      </c>
      <c r="J65" t="s">
        <v>9</v>
      </c>
      <c r="K65" t="s">
        <v>270</v>
      </c>
      <c r="L65" t="s">
        <v>106</v>
      </c>
    </row>
    <row r="66" spans="1:12" x14ac:dyDescent="0.25">
      <c r="A66" t="s">
        <v>273</v>
      </c>
      <c r="B66" t="s">
        <v>112</v>
      </c>
      <c r="C66">
        <v>20</v>
      </c>
      <c r="D66" t="s">
        <v>102</v>
      </c>
      <c r="G66" t="s">
        <v>102</v>
      </c>
      <c r="H66">
        <v>20</v>
      </c>
      <c r="I66">
        <v>100</v>
      </c>
      <c r="J66" t="s">
        <v>9</v>
      </c>
      <c r="K66" t="s">
        <v>271</v>
      </c>
      <c r="L66" t="s">
        <v>108</v>
      </c>
    </row>
    <row r="67" spans="1:12" x14ac:dyDescent="0.25">
      <c r="A67" t="s">
        <v>274</v>
      </c>
      <c r="B67" t="s">
        <v>114</v>
      </c>
      <c r="C67">
        <v>20</v>
      </c>
      <c r="D67" t="s">
        <v>102</v>
      </c>
      <c r="G67" t="s">
        <v>102</v>
      </c>
      <c r="H67">
        <v>20</v>
      </c>
      <c r="I67">
        <v>100</v>
      </c>
      <c r="J67" t="s">
        <v>9</v>
      </c>
      <c r="K67" t="s">
        <v>272</v>
      </c>
      <c r="L67" t="s">
        <v>110</v>
      </c>
    </row>
    <row r="68" spans="1:12" x14ac:dyDescent="0.25">
      <c r="A68" t="s">
        <v>275</v>
      </c>
      <c r="B68" t="s">
        <v>276</v>
      </c>
      <c r="C68">
        <v>20</v>
      </c>
      <c r="D68" t="s">
        <v>102</v>
      </c>
      <c r="G68" t="s">
        <v>102</v>
      </c>
      <c r="H68">
        <v>20</v>
      </c>
      <c r="I68">
        <v>100</v>
      </c>
      <c r="J68" t="s">
        <v>9</v>
      </c>
      <c r="K68" t="s">
        <v>273</v>
      </c>
      <c r="L68" t="s">
        <v>112</v>
      </c>
    </row>
    <row r="69" spans="1:12" x14ac:dyDescent="0.25">
      <c r="A69" t="s">
        <v>277</v>
      </c>
      <c r="B69" t="s">
        <v>278</v>
      </c>
      <c r="C69">
        <v>20</v>
      </c>
      <c r="D69" t="s">
        <v>102</v>
      </c>
      <c r="G69" t="s">
        <v>102</v>
      </c>
      <c r="H69">
        <v>20</v>
      </c>
      <c r="I69">
        <v>100</v>
      </c>
      <c r="J69" t="s">
        <v>9</v>
      </c>
      <c r="K69" t="s">
        <v>274</v>
      </c>
      <c r="L69" t="s">
        <v>114</v>
      </c>
    </row>
    <row r="70" spans="1:12" x14ac:dyDescent="0.25">
      <c r="A70" t="s">
        <v>279</v>
      </c>
      <c r="B70" t="s">
        <v>280</v>
      </c>
      <c r="C70">
        <v>20</v>
      </c>
      <c r="D70" t="s">
        <v>102</v>
      </c>
      <c r="G70" t="s">
        <v>102</v>
      </c>
      <c r="H70">
        <v>20</v>
      </c>
      <c r="I70">
        <v>100</v>
      </c>
      <c r="J70" t="s">
        <v>9</v>
      </c>
      <c r="K70" t="s">
        <v>275</v>
      </c>
      <c r="L70" t="s">
        <v>1183</v>
      </c>
    </row>
    <row r="71" spans="1:12" x14ac:dyDescent="0.25">
      <c r="A71" t="s">
        <v>281</v>
      </c>
      <c r="B71" t="s">
        <v>282</v>
      </c>
      <c r="C71">
        <v>20</v>
      </c>
      <c r="D71" t="s">
        <v>102</v>
      </c>
      <c r="G71" t="s">
        <v>102</v>
      </c>
      <c r="H71">
        <v>20</v>
      </c>
      <c r="I71">
        <v>100</v>
      </c>
      <c r="J71" t="s">
        <v>9</v>
      </c>
      <c r="K71" t="s">
        <v>277</v>
      </c>
      <c r="L71" t="s">
        <v>1053</v>
      </c>
    </row>
    <row r="72" spans="1:12" x14ac:dyDescent="0.25">
      <c r="A72" t="s">
        <v>283</v>
      </c>
      <c r="B72" t="s">
        <v>120</v>
      </c>
      <c r="C72">
        <v>20</v>
      </c>
      <c r="D72" t="s">
        <v>102</v>
      </c>
      <c r="G72" t="s">
        <v>102</v>
      </c>
      <c r="H72">
        <v>20</v>
      </c>
      <c r="I72">
        <v>200</v>
      </c>
      <c r="J72" t="s">
        <v>10</v>
      </c>
      <c r="K72" t="s">
        <v>279</v>
      </c>
      <c r="L72" t="s">
        <v>1054</v>
      </c>
    </row>
    <row r="73" spans="1:12" x14ac:dyDescent="0.25">
      <c r="A73" t="s">
        <v>284</v>
      </c>
      <c r="B73" t="s">
        <v>124</v>
      </c>
      <c r="C73">
        <v>20</v>
      </c>
      <c r="D73" t="s">
        <v>102</v>
      </c>
      <c r="G73" t="s">
        <v>102</v>
      </c>
      <c r="H73">
        <v>20</v>
      </c>
      <c r="I73">
        <v>200</v>
      </c>
      <c r="J73" t="s">
        <v>10</v>
      </c>
      <c r="K73" t="s">
        <v>281</v>
      </c>
      <c r="L73" t="s">
        <v>381</v>
      </c>
    </row>
    <row r="74" spans="1:12" x14ac:dyDescent="0.25">
      <c r="A74" t="s">
        <v>285</v>
      </c>
      <c r="B74" t="s">
        <v>126</v>
      </c>
      <c r="C74">
        <v>20</v>
      </c>
      <c r="D74" t="s">
        <v>102</v>
      </c>
      <c r="G74" t="s">
        <v>102</v>
      </c>
      <c r="H74">
        <v>20</v>
      </c>
      <c r="I74">
        <v>200</v>
      </c>
      <c r="J74" t="s">
        <v>10</v>
      </c>
      <c r="K74" t="s">
        <v>283</v>
      </c>
      <c r="L74" t="s">
        <v>1055</v>
      </c>
    </row>
    <row r="75" spans="1:12" x14ac:dyDescent="0.25">
      <c r="A75" t="s">
        <v>286</v>
      </c>
      <c r="B75" t="s">
        <v>287</v>
      </c>
      <c r="C75">
        <v>20</v>
      </c>
      <c r="D75" t="s">
        <v>102</v>
      </c>
      <c r="G75" t="s">
        <v>102</v>
      </c>
      <c r="H75">
        <v>20</v>
      </c>
      <c r="I75">
        <v>200</v>
      </c>
      <c r="J75" t="s">
        <v>10</v>
      </c>
      <c r="K75" t="s">
        <v>1056</v>
      </c>
      <c r="L75" t="s">
        <v>1057</v>
      </c>
    </row>
    <row r="76" spans="1:12" x14ac:dyDescent="0.25">
      <c r="A76" t="s">
        <v>288</v>
      </c>
      <c r="B76" t="s">
        <v>130</v>
      </c>
      <c r="C76">
        <v>20</v>
      </c>
      <c r="D76" t="s">
        <v>102</v>
      </c>
      <c r="G76" t="s">
        <v>102</v>
      </c>
      <c r="H76">
        <v>20</v>
      </c>
      <c r="I76">
        <v>200</v>
      </c>
      <c r="J76" t="s">
        <v>10</v>
      </c>
      <c r="K76" t="s">
        <v>284</v>
      </c>
      <c r="L76" t="s">
        <v>124</v>
      </c>
    </row>
    <row r="77" spans="1:12" x14ac:dyDescent="0.25">
      <c r="A77" t="s">
        <v>289</v>
      </c>
      <c r="B77" t="s">
        <v>132</v>
      </c>
      <c r="C77">
        <v>20</v>
      </c>
      <c r="D77" t="s">
        <v>102</v>
      </c>
      <c r="G77" t="s">
        <v>102</v>
      </c>
      <c r="H77">
        <v>20</v>
      </c>
      <c r="I77">
        <v>200</v>
      </c>
      <c r="J77" t="s">
        <v>10</v>
      </c>
      <c r="K77" t="s">
        <v>285</v>
      </c>
      <c r="L77" t="s">
        <v>126</v>
      </c>
    </row>
    <row r="78" spans="1:12" x14ac:dyDescent="0.25">
      <c r="A78" t="s">
        <v>290</v>
      </c>
      <c r="B78" t="s">
        <v>291</v>
      </c>
      <c r="C78">
        <v>20</v>
      </c>
      <c r="D78" t="s">
        <v>102</v>
      </c>
      <c r="G78" t="s">
        <v>102</v>
      </c>
      <c r="H78">
        <v>20</v>
      </c>
      <c r="I78">
        <v>200</v>
      </c>
      <c r="J78" t="s">
        <v>10</v>
      </c>
      <c r="K78" t="s">
        <v>286</v>
      </c>
      <c r="L78" t="s">
        <v>287</v>
      </c>
    </row>
    <row r="79" spans="1:12" x14ac:dyDescent="0.25">
      <c r="A79" t="s">
        <v>292</v>
      </c>
      <c r="B79" t="s">
        <v>293</v>
      </c>
      <c r="C79">
        <v>20</v>
      </c>
      <c r="D79" t="s">
        <v>102</v>
      </c>
      <c r="G79" t="s">
        <v>102</v>
      </c>
      <c r="H79">
        <v>20</v>
      </c>
      <c r="I79">
        <v>200</v>
      </c>
      <c r="J79" t="s">
        <v>10</v>
      </c>
      <c r="K79" t="s">
        <v>288</v>
      </c>
      <c r="L79" t="s">
        <v>130</v>
      </c>
    </row>
    <row r="80" spans="1:12" x14ac:dyDescent="0.25">
      <c r="A80" t="s">
        <v>294</v>
      </c>
      <c r="B80" t="s">
        <v>295</v>
      </c>
      <c r="C80">
        <v>20</v>
      </c>
      <c r="D80" t="s">
        <v>102</v>
      </c>
      <c r="G80" t="s">
        <v>102</v>
      </c>
      <c r="H80">
        <v>20</v>
      </c>
      <c r="I80">
        <v>200</v>
      </c>
      <c r="J80" t="s">
        <v>10</v>
      </c>
      <c r="K80" t="s">
        <v>289</v>
      </c>
      <c r="L80" t="s">
        <v>132</v>
      </c>
    </row>
    <row r="81" spans="1:12" x14ac:dyDescent="0.25">
      <c r="A81" t="s">
        <v>296</v>
      </c>
      <c r="B81" t="s">
        <v>297</v>
      </c>
      <c r="C81">
        <v>20</v>
      </c>
      <c r="D81" t="s">
        <v>102</v>
      </c>
      <c r="G81" t="s">
        <v>102</v>
      </c>
      <c r="H81">
        <v>20</v>
      </c>
      <c r="I81">
        <v>200</v>
      </c>
      <c r="J81" t="s">
        <v>10</v>
      </c>
      <c r="K81" t="s">
        <v>290</v>
      </c>
      <c r="L81" t="s">
        <v>291</v>
      </c>
    </row>
    <row r="82" spans="1:12" x14ac:dyDescent="0.25">
      <c r="A82" t="s">
        <v>298</v>
      </c>
      <c r="B82" t="s">
        <v>299</v>
      </c>
      <c r="C82">
        <v>20</v>
      </c>
      <c r="D82" t="s">
        <v>102</v>
      </c>
      <c r="G82" t="s">
        <v>102</v>
      </c>
      <c r="H82">
        <v>20</v>
      </c>
      <c r="I82">
        <v>200</v>
      </c>
      <c r="J82" t="s">
        <v>10</v>
      </c>
      <c r="K82" t="s">
        <v>292</v>
      </c>
      <c r="L82" t="s">
        <v>1058</v>
      </c>
    </row>
    <row r="83" spans="1:12" x14ac:dyDescent="0.25">
      <c r="A83" t="s">
        <v>300</v>
      </c>
      <c r="B83" t="s">
        <v>301</v>
      </c>
      <c r="C83">
        <v>20</v>
      </c>
      <c r="D83" t="s">
        <v>102</v>
      </c>
      <c r="G83" t="s">
        <v>102</v>
      </c>
      <c r="H83">
        <v>20</v>
      </c>
      <c r="I83">
        <v>200</v>
      </c>
      <c r="J83" t="s">
        <v>10</v>
      </c>
      <c r="K83" t="s">
        <v>294</v>
      </c>
      <c r="L83" t="s">
        <v>295</v>
      </c>
    </row>
    <row r="84" spans="1:12" x14ac:dyDescent="0.25">
      <c r="A84" t="s">
        <v>302</v>
      </c>
      <c r="B84" t="s">
        <v>303</v>
      </c>
      <c r="C84">
        <v>20</v>
      </c>
      <c r="D84" t="s">
        <v>102</v>
      </c>
      <c r="G84" t="s">
        <v>102</v>
      </c>
      <c r="H84">
        <v>20</v>
      </c>
      <c r="I84">
        <v>200</v>
      </c>
      <c r="J84" t="s">
        <v>10</v>
      </c>
      <c r="K84" t="s">
        <v>296</v>
      </c>
      <c r="L84" t="s">
        <v>297</v>
      </c>
    </row>
    <row r="85" spans="1:12" x14ac:dyDescent="0.25">
      <c r="A85" t="s">
        <v>304</v>
      </c>
      <c r="B85" t="s">
        <v>305</v>
      </c>
      <c r="C85">
        <v>20</v>
      </c>
      <c r="D85" t="s">
        <v>102</v>
      </c>
      <c r="G85" t="s">
        <v>102</v>
      </c>
      <c r="H85">
        <v>20</v>
      </c>
      <c r="I85">
        <v>200</v>
      </c>
      <c r="J85" t="s">
        <v>10</v>
      </c>
      <c r="K85" t="s">
        <v>298</v>
      </c>
      <c r="L85" t="s">
        <v>299</v>
      </c>
    </row>
    <row r="86" spans="1:12" x14ac:dyDescent="0.25">
      <c r="A86" t="s">
        <v>306</v>
      </c>
      <c r="B86" t="s">
        <v>307</v>
      </c>
      <c r="C86">
        <v>20</v>
      </c>
      <c r="D86" t="s">
        <v>102</v>
      </c>
      <c r="G86" t="s">
        <v>102</v>
      </c>
      <c r="H86">
        <v>20</v>
      </c>
      <c r="I86">
        <v>200</v>
      </c>
      <c r="J86" t="s">
        <v>10</v>
      </c>
      <c r="K86" t="s">
        <v>300</v>
      </c>
      <c r="L86" t="s">
        <v>301</v>
      </c>
    </row>
    <row r="87" spans="1:12" x14ac:dyDescent="0.25">
      <c r="A87" t="s">
        <v>308</v>
      </c>
      <c r="B87" t="s">
        <v>309</v>
      </c>
      <c r="C87">
        <v>20</v>
      </c>
      <c r="D87" t="s">
        <v>102</v>
      </c>
      <c r="G87" t="s">
        <v>102</v>
      </c>
      <c r="H87">
        <v>20</v>
      </c>
      <c r="I87">
        <v>200</v>
      </c>
      <c r="J87" t="s">
        <v>10</v>
      </c>
      <c r="K87" t="s">
        <v>302</v>
      </c>
      <c r="L87" t="s">
        <v>303</v>
      </c>
    </row>
    <row r="88" spans="1:12" x14ac:dyDescent="0.25">
      <c r="A88" t="s">
        <v>310</v>
      </c>
      <c r="B88" t="s">
        <v>311</v>
      </c>
      <c r="C88">
        <v>20</v>
      </c>
      <c r="D88" t="s">
        <v>102</v>
      </c>
      <c r="G88" t="s">
        <v>102</v>
      </c>
      <c r="H88">
        <v>20</v>
      </c>
      <c r="I88">
        <v>200</v>
      </c>
      <c r="J88" t="s">
        <v>10</v>
      </c>
      <c r="K88" t="s">
        <v>304</v>
      </c>
      <c r="L88" t="s">
        <v>305</v>
      </c>
    </row>
    <row r="89" spans="1:12" x14ac:dyDescent="0.25">
      <c r="A89" t="s">
        <v>312</v>
      </c>
      <c r="B89" t="s">
        <v>313</v>
      </c>
      <c r="C89">
        <v>20</v>
      </c>
      <c r="D89" t="s">
        <v>102</v>
      </c>
      <c r="G89" t="s">
        <v>102</v>
      </c>
      <c r="H89">
        <v>20</v>
      </c>
      <c r="I89">
        <v>500</v>
      </c>
      <c r="J89" t="s">
        <v>11</v>
      </c>
      <c r="K89" t="s">
        <v>306</v>
      </c>
      <c r="L89" t="s">
        <v>432</v>
      </c>
    </row>
    <row r="90" spans="1:12" x14ac:dyDescent="0.25">
      <c r="A90" t="s">
        <v>314</v>
      </c>
      <c r="B90" t="s">
        <v>315</v>
      </c>
      <c r="C90">
        <v>20</v>
      </c>
      <c r="D90" t="s">
        <v>102</v>
      </c>
      <c r="G90" t="s">
        <v>102</v>
      </c>
      <c r="H90">
        <v>20</v>
      </c>
      <c r="I90">
        <v>200</v>
      </c>
      <c r="J90" t="s">
        <v>10</v>
      </c>
      <c r="K90" t="s">
        <v>1059</v>
      </c>
      <c r="L90" t="s">
        <v>386</v>
      </c>
    </row>
    <row r="91" spans="1:12" x14ac:dyDescent="0.25">
      <c r="A91" t="s">
        <v>316</v>
      </c>
      <c r="B91" t="s">
        <v>317</v>
      </c>
      <c r="C91">
        <v>20</v>
      </c>
      <c r="D91" t="s">
        <v>102</v>
      </c>
      <c r="G91" t="s">
        <v>102</v>
      </c>
      <c r="H91">
        <v>20</v>
      </c>
      <c r="I91">
        <v>500</v>
      </c>
      <c r="J91" t="s">
        <v>11</v>
      </c>
      <c r="K91" t="s">
        <v>308</v>
      </c>
      <c r="L91" t="s">
        <v>388</v>
      </c>
    </row>
    <row r="92" spans="1:12" x14ac:dyDescent="0.25">
      <c r="A92" t="s">
        <v>318</v>
      </c>
      <c r="B92" t="s">
        <v>319</v>
      </c>
      <c r="C92">
        <v>20</v>
      </c>
      <c r="D92" t="s">
        <v>102</v>
      </c>
      <c r="G92" t="s">
        <v>102</v>
      </c>
      <c r="H92">
        <v>20</v>
      </c>
      <c r="I92">
        <v>500</v>
      </c>
      <c r="J92" t="s">
        <v>11</v>
      </c>
      <c r="K92" t="s">
        <v>310</v>
      </c>
      <c r="L92" t="s">
        <v>311</v>
      </c>
    </row>
    <row r="93" spans="1:12" x14ac:dyDescent="0.25">
      <c r="A93" t="s">
        <v>320</v>
      </c>
      <c r="B93" t="s">
        <v>244</v>
      </c>
      <c r="C93">
        <v>20</v>
      </c>
      <c r="D93" t="s">
        <v>102</v>
      </c>
      <c r="G93" t="s">
        <v>102</v>
      </c>
      <c r="H93">
        <v>20</v>
      </c>
      <c r="I93">
        <v>500</v>
      </c>
      <c r="J93" t="s">
        <v>11</v>
      </c>
      <c r="K93" t="s">
        <v>312</v>
      </c>
      <c r="L93" t="s">
        <v>313</v>
      </c>
    </row>
    <row r="94" spans="1:12" x14ac:dyDescent="0.25">
      <c r="A94" t="s">
        <v>321</v>
      </c>
      <c r="B94" t="s">
        <v>322</v>
      </c>
      <c r="C94">
        <v>20</v>
      </c>
      <c r="D94" t="s">
        <v>102</v>
      </c>
      <c r="G94" t="s">
        <v>102</v>
      </c>
      <c r="H94">
        <v>20</v>
      </c>
      <c r="I94">
        <v>500</v>
      </c>
      <c r="J94" t="s">
        <v>11</v>
      </c>
      <c r="K94" t="s">
        <v>1060</v>
      </c>
      <c r="L94" t="s">
        <v>144</v>
      </c>
    </row>
    <row r="95" spans="1:12" x14ac:dyDescent="0.25">
      <c r="A95" t="s">
        <v>323</v>
      </c>
      <c r="B95" t="s">
        <v>240</v>
      </c>
      <c r="C95">
        <v>20</v>
      </c>
      <c r="D95" t="s">
        <v>102</v>
      </c>
      <c r="G95" t="s">
        <v>102</v>
      </c>
      <c r="H95">
        <v>20</v>
      </c>
      <c r="I95">
        <v>600</v>
      </c>
      <c r="J95" t="s">
        <v>13</v>
      </c>
      <c r="K95" t="s">
        <v>314</v>
      </c>
      <c r="L95" t="s">
        <v>315</v>
      </c>
    </row>
    <row r="96" spans="1:12" x14ac:dyDescent="0.25">
      <c r="A96" t="s">
        <v>324</v>
      </c>
      <c r="B96" t="s">
        <v>325</v>
      </c>
      <c r="C96">
        <v>20</v>
      </c>
      <c r="D96" t="s">
        <v>102</v>
      </c>
      <c r="G96" t="s">
        <v>102</v>
      </c>
      <c r="H96">
        <v>20</v>
      </c>
      <c r="I96">
        <v>200</v>
      </c>
      <c r="J96" t="s">
        <v>10</v>
      </c>
      <c r="K96" t="s">
        <v>316</v>
      </c>
      <c r="L96" t="s">
        <v>317</v>
      </c>
    </row>
    <row r="97" spans="1:12" x14ac:dyDescent="0.25">
      <c r="A97" t="s">
        <v>326</v>
      </c>
      <c r="B97" t="s">
        <v>327</v>
      </c>
      <c r="C97">
        <v>20</v>
      </c>
      <c r="D97" t="s">
        <v>102</v>
      </c>
      <c r="G97" t="s">
        <v>102</v>
      </c>
      <c r="H97">
        <v>20</v>
      </c>
      <c r="I97">
        <v>200</v>
      </c>
      <c r="J97" t="s">
        <v>10</v>
      </c>
      <c r="K97" t="s">
        <v>318</v>
      </c>
      <c r="L97" t="s">
        <v>319</v>
      </c>
    </row>
    <row r="98" spans="1:12" x14ac:dyDescent="0.25">
      <c r="A98" t="s">
        <v>328</v>
      </c>
      <c r="B98" t="s">
        <v>329</v>
      </c>
      <c r="C98">
        <v>20</v>
      </c>
      <c r="D98" t="s">
        <v>102</v>
      </c>
      <c r="G98" t="s">
        <v>102</v>
      </c>
      <c r="H98">
        <v>20</v>
      </c>
      <c r="I98">
        <v>200</v>
      </c>
      <c r="J98" t="s">
        <v>10</v>
      </c>
      <c r="K98" t="s">
        <v>320</v>
      </c>
      <c r="L98" t="s">
        <v>244</v>
      </c>
    </row>
    <row r="99" spans="1:12" x14ac:dyDescent="0.25">
      <c r="A99" t="s">
        <v>330</v>
      </c>
      <c r="B99" t="s">
        <v>331</v>
      </c>
      <c r="C99">
        <v>20</v>
      </c>
      <c r="D99" t="s">
        <v>102</v>
      </c>
      <c r="G99" t="s">
        <v>102</v>
      </c>
      <c r="H99">
        <v>20</v>
      </c>
      <c r="I99">
        <v>200</v>
      </c>
      <c r="J99" t="s">
        <v>10</v>
      </c>
      <c r="K99" t="s">
        <v>321</v>
      </c>
      <c r="L99" t="s">
        <v>322</v>
      </c>
    </row>
    <row r="100" spans="1:12" x14ac:dyDescent="0.25">
      <c r="A100" t="s">
        <v>332</v>
      </c>
      <c r="B100" t="s">
        <v>333</v>
      </c>
      <c r="C100">
        <v>20</v>
      </c>
      <c r="D100" t="s">
        <v>102</v>
      </c>
      <c r="G100" t="s">
        <v>102</v>
      </c>
      <c r="H100">
        <v>20</v>
      </c>
      <c r="I100">
        <v>970</v>
      </c>
      <c r="J100" t="s">
        <v>884</v>
      </c>
      <c r="K100" t="s">
        <v>323</v>
      </c>
      <c r="L100" t="s">
        <v>240</v>
      </c>
    </row>
    <row r="101" spans="1:12" x14ac:dyDescent="0.25">
      <c r="A101" t="s">
        <v>334</v>
      </c>
      <c r="B101" t="s">
        <v>335</v>
      </c>
      <c r="C101">
        <v>20</v>
      </c>
      <c r="D101" t="s">
        <v>102</v>
      </c>
      <c r="G101" t="s">
        <v>102</v>
      </c>
      <c r="H101">
        <v>20</v>
      </c>
      <c r="I101">
        <v>620</v>
      </c>
      <c r="J101" t="s">
        <v>23</v>
      </c>
      <c r="K101" t="s">
        <v>324</v>
      </c>
      <c r="L101" t="s">
        <v>23</v>
      </c>
    </row>
    <row r="102" spans="1:12" x14ac:dyDescent="0.25">
      <c r="A102" t="s">
        <v>336</v>
      </c>
      <c r="B102" t="s">
        <v>337</v>
      </c>
      <c r="C102">
        <v>20</v>
      </c>
      <c r="D102" t="s">
        <v>102</v>
      </c>
      <c r="G102" t="s">
        <v>102</v>
      </c>
      <c r="H102">
        <v>20</v>
      </c>
      <c r="I102">
        <v>200</v>
      </c>
      <c r="J102" t="s">
        <v>10</v>
      </c>
      <c r="K102" t="s">
        <v>326</v>
      </c>
      <c r="L102" t="s">
        <v>1061</v>
      </c>
    </row>
    <row r="103" spans="1:12" x14ac:dyDescent="0.25">
      <c r="A103" t="s">
        <v>338</v>
      </c>
      <c r="B103" t="s">
        <v>339</v>
      </c>
      <c r="C103">
        <v>20</v>
      </c>
      <c r="D103" t="s">
        <v>102</v>
      </c>
      <c r="G103" t="s">
        <v>102</v>
      </c>
      <c r="H103">
        <v>20</v>
      </c>
      <c r="I103">
        <v>200</v>
      </c>
      <c r="J103" t="s">
        <v>10</v>
      </c>
      <c r="K103" t="s">
        <v>328</v>
      </c>
      <c r="L103" t="s">
        <v>329</v>
      </c>
    </row>
    <row r="104" spans="1:12" x14ac:dyDescent="0.25">
      <c r="A104" t="s">
        <v>340</v>
      </c>
      <c r="B104" t="s">
        <v>43</v>
      </c>
      <c r="C104">
        <v>20</v>
      </c>
      <c r="D104" t="s">
        <v>102</v>
      </c>
      <c r="G104" t="s">
        <v>102</v>
      </c>
      <c r="H104">
        <v>20</v>
      </c>
      <c r="I104">
        <v>200</v>
      </c>
      <c r="J104" t="s">
        <v>10</v>
      </c>
      <c r="K104" t="s">
        <v>1062</v>
      </c>
      <c r="L104" t="s">
        <v>1063</v>
      </c>
    </row>
    <row r="105" spans="1:12" x14ac:dyDescent="0.25">
      <c r="A105" t="s">
        <v>341</v>
      </c>
      <c r="B105" t="s">
        <v>342</v>
      </c>
      <c r="C105">
        <v>20</v>
      </c>
      <c r="D105" t="s">
        <v>102</v>
      </c>
      <c r="G105" t="s">
        <v>102</v>
      </c>
      <c r="H105">
        <v>20</v>
      </c>
      <c r="I105">
        <v>200</v>
      </c>
      <c r="J105" t="s">
        <v>10</v>
      </c>
      <c r="K105" t="s">
        <v>1064</v>
      </c>
      <c r="L105" t="s">
        <v>158</v>
      </c>
    </row>
    <row r="106" spans="1:12" x14ac:dyDescent="0.25">
      <c r="A106" t="s">
        <v>343</v>
      </c>
      <c r="B106" t="s">
        <v>344</v>
      </c>
      <c r="C106">
        <v>20</v>
      </c>
      <c r="D106" t="s">
        <v>102</v>
      </c>
      <c r="G106" t="s">
        <v>102</v>
      </c>
      <c r="H106">
        <v>20</v>
      </c>
      <c r="I106">
        <v>200</v>
      </c>
      <c r="J106" t="s">
        <v>10</v>
      </c>
      <c r="K106" t="s">
        <v>330</v>
      </c>
      <c r="L106" t="s">
        <v>331</v>
      </c>
    </row>
    <row r="107" spans="1:12" x14ac:dyDescent="0.25">
      <c r="A107" t="s">
        <v>345</v>
      </c>
      <c r="B107" t="s">
        <v>346</v>
      </c>
      <c r="C107">
        <v>20</v>
      </c>
      <c r="D107" t="s">
        <v>102</v>
      </c>
      <c r="G107" t="s">
        <v>102</v>
      </c>
      <c r="H107">
        <v>20</v>
      </c>
      <c r="I107">
        <v>200</v>
      </c>
      <c r="J107" t="s">
        <v>10</v>
      </c>
      <c r="K107" t="s">
        <v>332</v>
      </c>
      <c r="L107" t="s">
        <v>333</v>
      </c>
    </row>
    <row r="108" spans="1:12" x14ac:dyDescent="0.25">
      <c r="A108" t="s">
        <v>347</v>
      </c>
      <c r="B108" t="s">
        <v>348</v>
      </c>
      <c r="C108">
        <v>20</v>
      </c>
      <c r="D108" t="s">
        <v>102</v>
      </c>
      <c r="G108" t="s">
        <v>102</v>
      </c>
      <c r="H108">
        <v>20</v>
      </c>
      <c r="I108">
        <v>200</v>
      </c>
      <c r="J108" t="s">
        <v>10</v>
      </c>
      <c r="K108" t="s">
        <v>334</v>
      </c>
      <c r="L108" t="s">
        <v>335</v>
      </c>
    </row>
    <row r="109" spans="1:12" x14ac:dyDescent="0.25">
      <c r="A109" t="s">
        <v>349</v>
      </c>
      <c r="B109" t="s">
        <v>350</v>
      </c>
      <c r="C109">
        <v>20</v>
      </c>
      <c r="D109" t="s">
        <v>102</v>
      </c>
      <c r="G109" t="s">
        <v>102</v>
      </c>
      <c r="H109">
        <v>20</v>
      </c>
      <c r="I109">
        <v>200</v>
      </c>
      <c r="J109" t="s">
        <v>10</v>
      </c>
      <c r="K109" t="s">
        <v>336</v>
      </c>
      <c r="L109" t="s">
        <v>337</v>
      </c>
    </row>
    <row r="110" spans="1:12" x14ac:dyDescent="0.25">
      <c r="A110" t="s">
        <v>351</v>
      </c>
      <c r="B110" t="s">
        <v>164</v>
      </c>
      <c r="C110">
        <v>20</v>
      </c>
      <c r="D110" t="s">
        <v>102</v>
      </c>
      <c r="G110" t="s">
        <v>102</v>
      </c>
      <c r="H110">
        <v>20</v>
      </c>
      <c r="I110">
        <v>200</v>
      </c>
      <c r="J110" t="s">
        <v>10</v>
      </c>
      <c r="K110" t="s">
        <v>338</v>
      </c>
      <c r="L110" t="s">
        <v>339</v>
      </c>
    </row>
    <row r="111" spans="1:12" x14ac:dyDescent="0.25">
      <c r="A111" t="s">
        <v>402</v>
      </c>
      <c r="B111" t="s">
        <v>49</v>
      </c>
      <c r="C111">
        <v>22</v>
      </c>
      <c r="D111" t="s">
        <v>50</v>
      </c>
      <c r="G111" t="s">
        <v>102</v>
      </c>
      <c r="H111">
        <v>20</v>
      </c>
      <c r="I111">
        <v>700</v>
      </c>
      <c r="J111" t="s">
        <v>12</v>
      </c>
      <c r="K111" t="s">
        <v>340</v>
      </c>
      <c r="L111" t="s">
        <v>43</v>
      </c>
    </row>
    <row r="112" spans="1:12" x14ac:dyDescent="0.25">
      <c r="A112" t="s">
        <v>403</v>
      </c>
      <c r="B112" t="s">
        <v>404</v>
      </c>
      <c r="C112">
        <v>22</v>
      </c>
      <c r="D112" t="s">
        <v>50</v>
      </c>
      <c r="G112" t="s">
        <v>102</v>
      </c>
      <c r="H112">
        <v>20</v>
      </c>
      <c r="I112">
        <v>710</v>
      </c>
      <c r="J112" t="s">
        <v>882</v>
      </c>
      <c r="K112" t="s">
        <v>341</v>
      </c>
      <c r="L112" t="s">
        <v>22</v>
      </c>
    </row>
    <row r="113" spans="1:12" x14ac:dyDescent="0.25">
      <c r="A113" t="s">
        <v>405</v>
      </c>
      <c r="B113" t="s">
        <v>54</v>
      </c>
      <c r="C113">
        <v>22</v>
      </c>
      <c r="D113" t="s">
        <v>50</v>
      </c>
      <c r="G113" t="s">
        <v>102</v>
      </c>
      <c r="H113">
        <v>20</v>
      </c>
      <c r="I113">
        <v>710</v>
      </c>
      <c r="J113" t="s">
        <v>882</v>
      </c>
      <c r="K113" t="s">
        <v>343</v>
      </c>
      <c r="L113" t="s">
        <v>344</v>
      </c>
    </row>
    <row r="114" spans="1:12" x14ac:dyDescent="0.25">
      <c r="A114" t="s">
        <v>406</v>
      </c>
      <c r="B114" t="s">
        <v>184</v>
      </c>
      <c r="C114">
        <v>22</v>
      </c>
      <c r="D114" t="s">
        <v>50</v>
      </c>
      <c r="G114" t="s">
        <v>102</v>
      </c>
      <c r="H114">
        <v>20</v>
      </c>
      <c r="I114">
        <v>200</v>
      </c>
      <c r="J114" t="s">
        <v>10</v>
      </c>
      <c r="K114" t="s">
        <v>347</v>
      </c>
      <c r="L114" t="s">
        <v>348</v>
      </c>
    </row>
    <row r="115" spans="1:12" x14ac:dyDescent="0.25">
      <c r="A115" t="s">
        <v>407</v>
      </c>
      <c r="B115" t="s">
        <v>198</v>
      </c>
      <c r="C115">
        <v>22</v>
      </c>
      <c r="D115" t="s">
        <v>50</v>
      </c>
      <c r="G115" t="s">
        <v>102</v>
      </c>
      <c r="H115">
        <v>20</v>
      </c>
      <c r="I115">
        <v>200</v>
      </c>
      <c r="J115" t="s">
        <v>10</v>
      </c>
      <c r="K115" t="s">
        <v>1065</v>
      </c>
      <c r="L115" t="s">
        <v>1066</v>
      </c>
    </row>
    <row r="116" spans="1:12" x14ac:dyDescent="0.25">
      <c r="A116" t="s">
        <v>408</v>
      </c>
      <c r="B116" t="s">
        <v>70</v>
      </c>
      <c r="C116">
        <v>22</v>
      </c>
      <c r="D116" t="s">
        <v>71</v>
      </c>
      <c r="G116" t="s">
        <v>102</v>
      </c>
      <c r="H116">
        <v>20</v>
      </c>
      <c r="I116">
        <v>200</v>
      </c>
      <c r="J116" t="s">
        <v>10</v>
      </c>
      <c r="K116" t="s">
        <v>349</v>
      </c>
      <c r="L116" t="s">
        <v>350</v>
      </c>
    </row>
    <row r="117" spans="1:12" x14ac:dyDescent="0.25">
      <c r="A117" t="s">
        <v>409</v>
      </c>
      <c r="B117" t="s">
        <v>73</v>
      </c>
      <c r="C117">
        <v>22</v>
      </c>
      <c r="D117" t="s">
        <v>71</v>
      </c>
      <c r="G117" t="s">
        <v>102</v>
      </c>
      <c r="H117">
        <v>20</v>
      </c>
      <c r="I117">
        <v>720</v>
      </c>
      <c r="J117" t="s">
        <v>883</v>
      </c>
      <c r="K117" t="s">
        <v>351</v>
      </c>
      <c r="L117" t="s">
        <v>164</v>
      </c>
    </row>
    <row r="118" spans="1:12" x14ac:dyDescent="0.25">
      <c r="A118" t="s">
        <v>410</v>
      </c>
      <c r="B118" t="s">
        <v>208</v>
      </c>
      <c r="C118">
        <v>22</v>
      </c>
      <c r="D118" t="s">
        <v>71</v>
      </c>
      <c r="G118" t="s">
        <v>50</v>
      </c>
      <c r="H118">
        <v>22</v>
      </c>
      <c r="I118">
        <v>10000</v>
      </c>
      <c r="J118" t="s">
        <v>1029</v>
      </c>
      <c r="K118" t="s">
        <v>402</v>
      </c>
      <c r="L118" t="s">
        <v>49</v>
      </c>
    </row>
    <row r="119" spans="1:12" x14ac:dyDescent="0.25">
      <c r="A119" t="s">
        <v>411</v>
      </c>
      <c r="B119" t="s">
        <v>210</v>
      </c>
      <c r="C119">
        <v>22</v>
      </c>
      <c r="D119" t="s">
        <v>71</v>
      </c>
      <c r="G119" t="s">
        <v>50</v>
      </c>
      <c r="H119">
        <v>22</v>
      </c>
      <c r="I119">
        <v>16200</v>
      </c>
      <c r="J119" t="s">
        <v>1074</v>
      </c>
      <c r="K119" t="s">
        <v>1067</v>
      </c>
      <c r="L119" t="s">
        <v>1031</v>
      </c>
    </row>
    <row r="120" spans="1:12" x14ac:dyDescent="0.25">
      <c r="A120" t="s">
        <v>412</v>
      </c>
      <c r="B120" t="s">
        <v>217</v>
      </c>
      <c r="C120">
        <v>22</v>
      </c>
      <c r="D120" t="s">
        <v>71</v>
      </c>
      <c r="G120" t="s">
        <v>50</v>
      </c>
      <c r="H120">
        <v>22</v>
      </c>
      <c r="I120">
        <v>10000</v>
      </c>
      <c r="J120" t="s">
        <v>1029</v>
      </c>
      <c r="K120" t="s">
        <v>833</v>
      </c>
      <c r="L120" t="s">
        <v>834</v>
      </c>
    </row>
    <row r="121" spans="1:12" x14ac:dyDescent="0.25">
      <c r="A121" t="s">
        <v>413</v>
      </c>
      <c r="B121" t="s">
        <v>219</v>
      </c>
      <c r="C121">
        <v>22</v>
      </c>
      <c r="D121" t="s">
        <v>71</v>
      </c>
      <c r="G121" t="s">
        <v>50</v>
      </c>
      <c r="H121">
        <v>22</v>
      </c>
      <c r="I121">
        <v>10000</v>
      </c>
      <c r="J121" t="s">
        <v>1029</v>
      </c>
      <c r="K121" t="s">
        <v>403</v>
      </c>
      <c r="L121" t="s">
        <v>404</v>
      </c>
    </row>
    <row r="122" spans="1:12" x14ac:dyDescent="0.25">
      <c r="A122" t="s">
        <v>414</v>
      </c>
      <c r="B122" t="s">
        <v>246</v>
      </c>
      <c r="C122">
        <v>22</v>
      </c>
      <c r="D122" t="s">
        <v>94</v>
      </c>
      <c r="G122" t="s">
        <v>50</v>
      </c>
      <c r="H122">
        <v>22</v>
      </c>
      <c r="I122">
        <v>11500</v>
      </c>
      <c r="J122" t="s">
        <v>54</v>
      </c>
      <c r="K122" t="s">
        <v>405</v>
      </c>
      <c r="L122" t="s">
        <v>54</v>
      </c>
    </row>
    <row r="123" spans="1:12" x14ac:dyDescent="0.25">
      <c r="A123" t="s">
        <v>415</v>
      </c>
      <c r="B123" t="s">
        <v>416</v>
      </c>
      <c r="C123">
        <v>22</v>
      </c>
      <c r="D123" t="s">
        <v>97</v>
      </c>
      <c r="G123" t="s">
        <v>50</v>
      </c>
      <c r="H123">
        <v>22</v>
      </c>
      <c r="I123">
        <v>16320</v>
      </c>
      <c r="J123" t="s">
        <v>796</v>
      </c>
      <c r="K123" t="s">
        <v>406</v>
      </c>
      <c r="L123" t="s">
        <v>184</v>
      </c>
    </row>
    <row r="124" spans="1:12" x14ac:dyDescent="0.25">
      <c r="A124" t="s">
        <v>417</v>
      </c>
      <c r="B124" t="s">
        <v>418</v>
      </c>
      <c r="C124">
        <v>22</v>
      </c>
      <c r="D124" t="s">
        <v>97</v>
      </c>
      <c r="G124" t="s">
        <v>50</v>
      </c>
      <c r="H124">
        <v>22</v>
      </c>
      <c r="I124">
        <v>16900</v>
      </c>
      <c r="J124" t="s">
        <v>198</v>
      </c>
      <c r="K124" t="s">
        <v>407</v>
      </c>
      <c r="L124" t="s">
        <v>198</v>
      </c>
    </row>
    <row r="125" spans="1:12" x14ac:dyDescent="0.25">
      <c r="A125" t="s">
        <v>419</v>
      </c>
      <c r="B125" t="s">
        <v>420</v>
      </c>
      <c r="C125">
        <v>22</v>
      </c>
      <c r="D125" t="s">
        <v>97</v>
      </c>
      <c r="G125" t="s">
        <v>50</v>
      </c>
      <c r="H125">
        <v>22</v>
      </c>
      <c r="I125">
        <v>17000</v>
      </c>
      <c r="J125" t="s">
        <v>64</v>
      </c>
      <c r="K125" t="s">
        <v>1184</v>
      </c>
      <c r="L125" t="s">
        <v>64</v>
      </c>
    </row>
    <row r="126" spans="1:12" x14ac:dyDescent="0.25">
      <c r="A126" t="s">
        <v>421</v>
      </c>
      <c r="B126" t="s">
        <v>99</v>
      </c>
      <c r="C126">
        <v>22</v>
      </c>
      <c r="D126" t="s">
        <v>97</v>
      </c>
      <c r="G126" t="s">
        <v>50</v>
      </c>
      <c r="H126">
        <v>22</v>
      </c>
      <c r="I126">
        <v>17010</v>
      </c>
      <c r="J126" t="s">
        <v>66</v>
      </c>
      <c r="K126" t="s">
        <v>1185</v>
      </c>
      <c r="L126" t="s">
        <v>201</v>
      </c>
    </row>
    <row r="127" spans="1:12" x14ac:dyDescent="0.25">
      <c r="A127" t="s">
        <v>422</v>
      </c>
      <c r="B127" t="s">
        <v>261</v>
      </c>
      <c r="C127">
        <v>22</v>
      </c>
      <c r="D127" t="s">
        <v>97</v>
      </c>
      <c r="G127" t="s">
        <v>71</v>
      </c>
      <c r="H127">
        <v>22</v>
      </c>
      <c r="I127">
        <v>21100</v>
      </c>
      <c r="J127" t="s">
        <v>70</v>
      </c>
      <c r="K127" t="s">
        <v>408</v>
      </c>
      <c r="L127" t="s">
        <v>70</v>
      </c>
    </row>
    <row r="128" spans="1:12" x14ac:dyDescent="0.25">
      <c r="A128" t="s">
        <v>423</v>
      </c>
      <c r="B128" t="s">
        <v>267</v>
      </c>
      <c r="C128">
        <v>22</v>
      </c>
      <c r="D128" t="s">
        <v>97</v>
      </c>
      <c r="G128" t="s">
        <v>71</v>
      </c>
      <c r="H128">
        <v>22</v>
      </c>
      <c r="I128">
        <v>22200</v>
      </c>
      <c r="J128" t="s">
        <v>1040</v>
      </c>
      <c r="K128" t="s">
        <v>409</v>
      </c>
      <c r="L128" t="s">
        <v>73</v>
      </c>
    </row>
    <row r="129" spans="1:12" x14ac:dyDescent="0.25">
      <c r="A129" t="s">
        <v>424</v>
      </c>
      <c r="B129" t="s">
        <v>101</v>
      </c>
      <c r="C129">
        <v>22</v>
      </c>
      <c r="D129" t="s">
        <v>102</v>
      </c>
      <c r="G129" t="s">
        <v>71</v>
      </c>
      <c r="H129">
        <v>22</v>
      </c>
      <c r="I129">
        <v>22200</v>
      </c>
      <c r="J129" t="s">
        <v>1040</v>
      </c>
      <c r="K129" t="s">
        <v>410</v>
      </c>
      <c r="L129" t="s">
        <v>208</v>
      </c>
    </row>
    <row r="130" spans="1:12" x14ac:dyDescent="0.25">
      <c r="A130" t="s">
        <v>425</v>
      </c>
      <c r="B130" t="s">
        <v>104</v>
      </c>
      <c r="C130">
        <v>22</v>
      </c>
      <c r="D130" t="s">
        <v>102</v>
      </c>
      <c r="G130" t="s">
        <v>71</v>
      </c>
      <c r="H130">
        <v>22</v>
      </c>
      <c r="I130">
        <v>22200</v>
      </c>
      <c r="J130" t="s">
        <v>1040</v>
      </c>
      <c r="K130" t="s">
        <v>411</v>
      </c>
      <c r="L130" t="s">
        <v>210</v>
      </c>
    </row>
    <row r="131" spans="1:12" x14ac:dyDescent="0.25">
      <c r="A131" t="s">
        <v>426</v>
      </c>
      <c r="B131" t="s">
        <v>106</v>
      </c>
      <c r="C131">
        <v>22</v>
      </c>
      <c r="D131" t="s">
        <v>102</v>
      </c>
      <c r="G131" t="s">
        <v>71</v>
      </c>
      <c r="H131">
        <v>22</v>
      </c>
      <c r="I131">
        <v>28560</v>
      </c>
      <c r="J131" t="s">
        <v>79</v>
      </c>
      <c r="K131" t="s">
        <v>1186</v>
      </c>
      <c r="L131" t="s">
        <v>79</v>
      </c>
    </row>
    <row r="132" spans="1:12" x14ac:dyDescent="0.25">
      <c r="A132" t="s">
        <v>427</v>
      </c>
      <c r="B132" t="s">
        <v>110</v>
      </c>
      <c r="C132">
        <v>22</v>
      </c>
      <c r="D132" t="s">
        <v>102</v>
      </c>
      <c r="G132" t="s">
        <v>71</v>
      </c>
      <c r="H132">
        <v>22</v>
      </c>
      <c r="I132">
        <v>22520</v>
      </c>
      <c r="J132" t="s">
        <v>1041</v>
      </c>
      <c r="K132" t="s">
        <v>1187</v>
      </c>
      <c r="L132" t="s">
        <v>213</v>
      </c>
    </row>
    <row r="133" spans="1:12" x14ac:dyDescent="0.25">
      <c r="A133" t="s">
        <v>428</v>
      </c>
      <c r="B133" t="s">
        <v>280</v>
      </c>
      <c r="C133">
        <v>22</v>
      </c>
      <c r="D133" t="s">
        <v>102</v>
      </c>
      <c r="G133" t="s">
        <v>71</v>
      </c>
      <c r="H133">
        <v>22</v>
      </c>
      <c r="I133">
        <v>22200</v>
      </c>
      <c r="J133" t="s">
        <v>1040</v>
      </c>
      <c r="K133" t="s">
        <v>835</v>
      </c>
      <c r="L133" t="s">
        <v>215</v>
      </c>
    </row>
    <row r="134" spans="1:12" x14ac:dyDescent="0.25">
      <c r="A134" t="s">
        <v>429</v>
      </c>
      <c r="B134" t="s">
        <v>295</v>
      </c>
      <c r="C134">
        <v>22</v>
      </c>
      <c r="D134" t="s">
        <v>102</v>
      </c>
      <c r="G134" t="s">
        <v>71</v>
      </c>
      <c r="H134">
        <v>22</v>
      </c>
      <c r="I134">
        <v>22200</v>
      </c>
      <c r="J134" t="s">
        <v>1040</v>
      </c>
      <c r="K134" t="s">
        <v>412</v>
      </c>
      <c r="L134" t="s">
        <v>217</v>
      </c>
    </row>
    <row r="135" spans="1:12" x14ac:dyDescent="0.25">
      <c r="A135" t="s">
        <v>430</v>
      </c>
      <c r="B135" t="s">
        <v>303</v>
      </c>
      <c r="C135">
        <v>22</v>
      </c>
      <c r="D135" t="s">
        <v>102</v>
      </c>
      <c r="G135" t="s">
        <v>71</v>
      </c>
      <c r="H135">
        <v>22</v>
      </c>
      <c r="I135">
        <v>22200</v>
      </c>
      <c r="J135" t="s">
        <v>1040</v>
      </c>
      <c r="K135" t="s">
        <v>413</v>
      </c>
      <c r="L135" t="s">
        <v>219</v>
      </c>
    </row>
    <row r="136" spans="1:12" x14ac:dyDescent="0.25">
      <c r="A136" t="s">
        <v>431</v>
      </c>
      <c r="B136" t="s">
        <v>432</v>
      </c>
      <c r="C136">
        <v>22</v>
      </c>
      <c r="D136" t="s">
        <v>102</v>
      </c>
      <c r="G136" t="s">
        <v>71</v>
      </c>
      <c r="H136">
        <v>22</v>
      </c>
      <c r="I136">
        <v>22200</v>
      </c>
      <c r="J136" t="s">
        <v>1040</v>
      </c>
      <c r="K136" t="s">
        <v>836</v>
      </c>
      <c r="L136" t="s">
        <v>89</v>
      </c>
    </row>
    <row r="137" spans="1:12" x14ac:dyDescent="0.25">
      <c r="A137" t="s">
        <v>433</v>
      </c>
      <c r="B137" t="s">
        <v>309</v>
      </c>
      <c r="C137">
        <v>22</v>
      </c>
      <c r="D137" t="s">
        <v>102</v>
      </c>
      <c r="G137" t="s">
        <v>71</v>
      </c>
      <c r="H137">
        <v>22</v>
      </c>
      <c r="I137">
        <v>22250</v>
      </c>
      <c r="J137" t="s">
        <v>1178</v>
      </c>
      <c r="K137" t="s">
        <v>837</v>
      </c>
      <c r="L137" t="s">
        <v>1178</v>
      </c>
    </row>
    <row r="138" spans="1:12" x14ac:dyDescent="0.25">
      <c r="A138" t="s">
        <v>434</v>
      </c>
      <c r="B138" t="s">
        <v>311</v>
      </c>
      <c r="C138">
        <v>22</v>
      </c>
      <c r="D138" t="s">
        <v>102</v>
      </c>
      <c r="G138" t="s">
        <v>1049</v>
      </c>
      <c r="H138">
        <v>22</v>
      </c>
      <c r="I138">
        <v>29100</v>
      </c>
      <c r="J138" t="s">
        <v>1050</v>
      </c>
      <c r="K138" t="s">
        <v>414</v>
      </c>
      <c r="L138" t="s">
        <v>246</v>
      </c>
    </row>
    <row r="139" spans="1:12" x14ac:dyDescent="0.25">
      <c r="A139" t="s">
        <v>435</v>
      </c>
      <c r="B139" t="s">
        <v>329</v>
      </c>
      <c r="C139">
        <v>22</v>
      </c>
      <c r="D139" t="s">
        <v>102</v>
      </c>
      <c r="G139" t="s">
        <v>97</v>
      </c>
      <c r="H139">
        <v>22</v>
      </c>
      <c r="I139">
        <v>70</v>
      </c>
      <c r="J139" t="s">
        <v>20</v>
      </c>
      <c r="K139" t="s">
        <v>415</v>
      </c>
      <c r="L139" t="s">
        <v>416</v>
      </c>
    </row>
    <row r="140" spans="1:12" x14ac:dyDescent="0.25">
      <c r="A140" t="s">
        <v>436</v>
      </c>
      <c r="B140" t="s">
        <v>331</v>
      </c>
      <c r="C140">
        <v>22</v>
      </c>
      <c r="D140" t="s">
        <v>102</v>
      </c>
      <c r="G140" t="s">
        <v>97</v>
      </c>
      <c r="H140">
        <v>22</v>
      </c>
      <c r="I140">
        <v>30</v>
      </c>
      <c r="J140" t="s">
        <v>6</v>
      </c>
      <c r="K140" t="s">
        <v>417</v>
      </c>
      <c r="L140" t="s">
        <v>418</v>
      </c>
    </row>
    <row r="141" spans="1:12" x14ac:dyDescent="0.25">
      <c r="A141" t="s">
        <v>437</v>
      </c>
      <c r="B141" t="s">
        <v>438</v>
      </c>
      <c r="C141">
        <v>22</v>
      </c>
      <c r="D141" t="s">
        <v>102</v>
      </c>
      <c r="G141" t="s">
        <v>97</v>
      </c>
      <c r="H141">
        <v>22</v>
      </c>
      <c r="I141">
        <v>30</v>
      </c>
      <c r="J141" t="s">
        <v>6</v>
      </c>
      <c r="K141" t="s">
        <v>419</v>
      </c>
      <c r="L141" t="s">
        <v>1068</v>
      </c>
    </row>
    <row r="142" spans="1:12" x14ac:dyDescent="0.25">
      <c r="A142" t="s">
        <v>439</v>
      </c>
      <c r="B142" t="s">
        <v>43</v>
      </c>
      <c r="C142">
        <v>22</v>
      </c>
      <c r="D142" t="s">
        <v>102</v>
      </c>
      <c r="G142" t="s">
        <v>97</v>
      </c>
      <c r="H142">
        <v>22</v>
      </c>
      <c r="I142">
        <v>30</v>
      </c>
      <c r="J142" t="s">
        <v>6</v>
      </c>
      <c r="K142" t="s">
        <v>421</v>
      </c>
      <c r="L142" t="s">
        <v>99</v>
      </c>
    </row>
    <row r="143" spans="1:12" x14ac:dyDescent="0.25">
      <c r="A143" t="s">
        <v>440</v>
      </c>
      <c r="B143" t="s">
        <v>344</v>
      </c>
      <c r="C143">
        <v>22</v>
      </c>
      <c r="D143" t="s">
        <v>102</v>
      </c>
      <c r="G143" t="s">
        <v>97</v>
      </c>
      <c r="H143">
        <v>22</v>
      </c>
      <c r="I143">
        <v>960</v>
      </c>
      <c r="J143" t="s">
        <v>19</v>
      </c>
      <c r="K143" t="s">
        <v>422</v>
      </c>
      <c r="L143" t="s">
        <v>261</v>
      </c>
    </row>
    <row r="144" spans="1:12" x14ac:dyDescent="0.25">
      <c r="A144" t="s">
        <v>441</v>
      </c>
      <c r="B144" t="s">
        <v>348</v>
      </c>
      <c r="C144">
        <v>22</v>
      </c>
      <c r="D144" t="s">
        <v>102</v>
      </c>
      <c r="G144" t="s">
        <v>102</v>
      </c>
      <c r="H144">
        <v>22</v>
      </c>
      <c r="I144">
        <v>100</v>
      </c>
      <c r="J144" t="s">
        <v>9</v>
      </c>
      <c r="K144" t="s">
        <v>424</v>
      </c>
      <c r="L144" t="s">
        <v>101</v>
      </c>
    </row>
    <row r="145" spans="1:12" x14ac:dyDescent="0.25">
      <c r="A145" t="s">
        <v>442</v>
      </c>
      <c r="B145" t="s">
        <v>164</v>
      </c>
      <c r="C145">
        <v>22</v>
      </c>
      <c r="D145" t="s">
        <v>102</v>
      </c>
      <c r="G145" t="s">
        <v>102</v>
      </c>
      <c r="H145">
        <v>22</v>
      </c>
      <c r="I145">
        <v>100</v>
      </c>
      <c r="J145" t="s">
        <v>9</v>
      </c>
      <c r="K145" t="s">
        <v>425</v>
      </c>
      <c r="L145" t="s">
        <v>104</v>
      </c>
    </row>
    <row r="146" spans="1:12" x14ac:dyDescent="0.25">
      <c r="A146" t="s">
        <v>510</v>
      </c>
      <c r="B146" t="s">
        <v>49</v>
      </c>
      <c r="C146">
        <v>51</v>
      </c>
      <c r="D146" t="s">
        <v>50</v>
      </c>
      <c r="G146" t="s">
        <v>102</v>
      </c>
      <c r="H146">
        <v>22</v>
      </c>
      <c r="I146">
        <v>100</v>
      </c>
      <c r="J146" t="s">
        <v>9</v>
      </c>
      <c r="K146" t="s">
        <v>426</v>
      </c>
      <c r="L146" t="s">
        <v>106</v>
      </c>
    </row>
    <row r="147" spans="1:12" x14ac:dyDescent="0.25">
      <c r="A147" t="s">
        <v>511</v>
      </c>
      <c r="B147" t="s">
        <v>512</v>
      </c>
      <c r="C147">
        <v>51</v>
      </c>
      <c r="D147" t="s">
        <v>50</v>
      </c>
      <c r="G147" t="s">
        <v>102</v>
      </c>
      <c r="H147">
        <v>22</v>
      </c>
      <c r="I147">
        <v>100</v>
      </c>
      <c r="J147" t="s">
        <v>9</v>
      </c>
      <c r="K147" t="s">
        <v>838</v>
      </c>
      <c r="L147" t="s">
        <v>108</v>
      </c>
    </row>
    <row r="148" spans="1:12" x14ac:dyDescent="0.25">
      <c r="A148" t="s">
        <v>513</v>
      </c>
      <c r="B148" t="s">
        <v>514</v>
      </c>
      <c r="C148">
        <v>51</v>
      </c>
      <c r="D148" t="s">
        <v>50</v>
      </c>
      <c r="G148" t="s">
        <v>102</v>
      </c>
      <c r="H148">
        <v>22</v>
      </c>
      <c r="I148">
        <v>100</v>
      </c>
      <c r="J148" t="s">
        <v>9</v>
      </c>
      <c r="K148" t="s">
        <v>427</v>
      </c>
      <c r="L148" t="s">
        <v>110</v>
      </c>
    </row>
    <row r="149" spans="1:12" x14ac:dyDescent="0.25">
      <c r="A149" t="s">
        <v>515</v>
      </c>
      <c r="B149" t="s">
        <v>516</v>
      </c>
      <c r="C149">
        <v>51</v>
      </c>
      <c r="D149" t="s">
        <v>50</v>
      </c>
      <c r="G149" t="s">
        <v>102</v>
      </c>
      <c r="H149">
        <v>22</v>
      </c>
      <c r="I149">
        <v>100</v>
      </c>
      <c r="J149" t="s">
        <v>9</v>
      </c>
      <c r="K149" t="s">
        <v>839</v>
      </c>
      <c r="L149" t="s">
        <v>112</v>
      </c>
    </row>
    <row r="150" spans="1:12" x14ac:dyDescent="0.25">
      <c r="A150" t="s">
        <v>517</v>
      </c>
      <c r="B150" t="s">
        <v>518</v>
      </c>
      <c r="C150">
        <v>51</v>
      </c>
      <c r="D150" t="s">
        <v>50</v>
      </c>
      <c r="G150" t="s">
        <v>102</v>
      </c>
      <c r="H150">
        <v>22</v>
      </c>
      <c r="I150">
        <v>100</v>
      </c>
      <c r="J150" t="s">
        <v>9</v>
      </c>
      <c r="K150" t="s">
        <v>840</v>
      </c>
      <c r="L150" t="s">
        <v>114</v>
      </c>
    </row>
    <row r="151" spans="1:12" x14ac:dyDescent="0.25">
      <c r="A151" t="s">
        <v>519</v>
      </c>
      <c r="B151" t="s">
        <v>520</v>
      </c>
      <c r="C151">
        <v>51</v>
      </c>
      <c r="D151" t="s">
        <v>50</v>
      </c>
      <c r="G151" t="s">
        <v>102</v>
      </c>
      <c r="H151">
        <v>22</v>
      </c>
      <c r="I151">
        <v>200</v>
      </c>
      <c r="J151" t="s">
        <v>10</v>
      </c>
      <c r="K151" t="s">
        <v>428</v>
      </c>
      <c r="L151" t="s">
        <v>1054</v>
      </c>
    </row>
    <row r="152" spans="1:12" x14ac:dyDescent="0.25">
      <c r="A152" t="s">
        <v>521</v>
      </c>
      <c r="B152" t="s">
        <v>522</v>
      </c>
      <c r="C152">
        <v>51</v>
      </c>
      <c r="D152" t="s">
        <v>50</v>
      </c>
      <c r="G152" t="s">
        <v>102</v>
      </c>
      <c r="H152">
        <v>22</v>
      </c>
      <c r="I152">
        <v>200</v>
      </c>
      <c r="J152" t="s">
        <v>10</v>
      </c>
      <c r="K152" t="s">
        <v>429</v>
      </c>
      <c r="L152" t="s">
        <v>295</v>
      </c>
    </row>
    <row r="153" spans="1:12" x14ac:dyDescent="0.25">
      <c r="A153" t="s">
        <v>523</v>
      </c>
      <c r="B153" t="s">
        <v>54</v>
      </c>
      <c r="C153">
        <v>51</v>
      </c>
      <c r="D153" t="s">
        <v>50</v>
      </c>
      <c r="G153" t="s">
        <v>102</v>
      </c>
      <c r="H153">
        <v>22</v>
      </c>
      <c r="I153">
        <v>200</v>
      </c>
      <c r="J153" t="s">
        <v>10</v>
      </c>
      <c r="K153" t="s">
        <v>430</v>
      </c>
      <c r="L153" t="s">
        <v>303</v>
      </c>
    </row>
    <row r="154" spans="1:12" x14ac:dyDescent="0.25">
      <c r="A154" t="s">
        <v>524</v>
      </c>
      <c r="B154" t="s">
        <v>525</v>
      </c>
      <c r="C154">
        <v>51</v>
      </c>
      <c r="D154" t="s">
        <v>50</v>
      </c>
      <c r="G154" t="s">
        <v>102</v>
      </c>
      <c r="H154">
        <v>22</v>
      </c>
      <c r="I154">
        <v>500</v>
      </c>
      <c r="J154" t="s">
        <v>11</v>
      </c>
      <c r="K154" t="s">
        <v>431</v>
      </c>
      <c r="L154" t="s">
        <v>432</v>
      </c>
    </row>
    <row r="155" spans="1:12" x14ac:dyDescent="0.25">
      <c r="A155" t="s">
        <v>526</v>
      </c>
      <c r="B155" t="s">
        <v>527</v>
      </c>
      <c r="C155">
        <v>51</v>
      </c>
      <c r="D155" t="s">
        <v>50</v>
      </c>
      <c r="G155" t="s">
        <v>102</v>
      </c>
      <c r="H155">
        <v>22</v>
      </c>
      <c r="I155">
        <v>500</v>
      </c>
      <c r="J155" t="s">
        <v>11</v>
      </c>
      <c r="K155" t="s">
        <v>433</v>
      </c>
      <c r="L155" t="s">
        <v>309</v>
      </c>
    </row>
    <row r="156" spans="1:12" x14ac:dyDescent="0.25">
      <c r="A156" t="s">
        <v>528</v>
      </c>
      <c r="B156" t="s">
        <v>529</v>
      </c>
      <c r="C156">
        <v>51</v>
      </c>
      <c r="D156" t="s">
        <v>50</v>
      </c>
      <c r="G156" t="s">
        <v>102</v>
      </c>
      <c r="H156">
        <v>22</v>
      </c>
      <c r="I156">
        <v>500</v>
      </c>
      <c r="J156" t="s">
        <v>11</v>
      </c>
      <c r="K156" t="s">
        <v>434</v>
      </c>
      <c r="L156" t="s">
        <v>311</v>
      </c>
    </row>
    <row r="157" spans="1:12" x14ac:dyDescent="0.25">
      <c r="A157" t="s">
        <v>530</v>
      </c>
      <c r="B157" t="s">
        <v>531</v>
      </c>
      <c r="C157">
        <v>51</v>
      </c>
      <c r="D157" t="s">
        <v>50</v>
      </c>
      <c r="G157" t="s">
        <v>102</v>
      </c>
      <c r="H157">
        <v>22</v>
      </c>
      <c r="I157">
        <v>200</v>
      </c>
      <c r="J157" t="s">
        <v>10</v>
      </c>
      <c r="K157" t="s">
        <v>435</v>
      </c>
      <c r="L157" t="s">
        <v>1069</v>
      </c>
    </row>
    <row r="158" spans="1:12" x14ac:dyDescent="0.25">
      <c r="A158" t="s">
        <v>532</v>
      </c>
      <c r="B158" t="s">
        <v>56</v>
      </c>
      <c r="C158">
        <v>51</v>
      </c>
      <c r="D158" t="s">
        <v>50</v>
      </c>
      <c r="G158" t="s">
        <v>102</v>
      </c>
      <c r="H158">
        <v>22</v>
      </c>
      <c r="I158">
        <v>200</v>
      </c>
      <c r="J158" t="s">
        <v>10</v>
      </c>
      <c r="K158" t="s">
        <v>436</v>
      </c>
      <c r="L158" t="s">
        <v>331</v>
      </c>
    </row>
    <row r="159" spans="1:12" x14ac:dyDescent="0.25">
      <c r="A159" t="s">
        <v>533</v>
      </c>
      <c r="B159" t="s">
        <v>186</v>
      </c>
      <c r="C159">
        <v>51</v>
      </c>
      <c r="D159" t="s">
        <v>50</v>
      </c>
      <c r="G159" t="s">
        <v>102</v>
      </c>
      <c r="H159">
        <v>22</v>
      </c>
      <c r="I159">
        <v>200</v>
      </c>
      <c r="J159" t="s">
        <v>10</v>
      </c>
      <c r="K159" t="s">
        <v>437</v>
      </c>
      <c r="L159" t="s">
        <v>438</v>
      </c>
    </row>
    <row r="160" spans="1:12" x14ac:dyDescent="0.25">
      <c r="A160" t="s">
        <v>534</v>
      </c>
      <c r="B160" t="s">
        <v>535</v>
      </c>
      <c r="C160">
        <v>51</v>
      </c>
      <c r="D160" t="s">
        <v>50</v>
      </c>
      <c r="G160" t="s">
        <v>102</v>
      </c>
      <c r="H160">
        <v>22</v>
      </c>
      <c r="I160">
        <v>700</v>
      </c>
      <c r="J160" t="s">
        <v>12</v>
      </c>
      <c r="K160" t="s">
        <v>439</v>
      </c>
      <c r="L160" t="s">
        <v>43</v>
      </c>
    </row>
    <row r="161" spans="1:12" x14ac:dyDescent="0.25">
      <c r="A161" t="s">
        <v>536</v>
      </c>
      <c r="B161" t="s">
        <v>537</v>
      </c>
      <c r="C161">
        <v>51</v>
      </c>
      <c r="D161" t="s">
        <v>50</v>
      </c>
      <c r="G161" t="s">
        <v>102</v>
      </c>
      <c r="H161">
        <v>22</v>
      </c>
      <c r="I161">
        <v>710</v>
      </c>
      <c r="J161" t="s">
        <v>882</v>
      </c>
      <c r="K161" t="s">
        <v>440</v>
      </c>
      <c r="L161" t="s">
        <v>344</v>
      </c>
    </row>
    <row r="162" spans="1:12" x14ac:dyDescent="0.25">
      <c r="A162" t="s">
        <v>538</v>
      </c>
      <c r="B162" t="s">
        <v>539</v>
      </c>
      <c r="C162">
        <v>51</v>
      </c>
      <c r="D162" t="s">
        <v>50</v>
      </c>
      <c r="G162" t="s">
        <v>102</v>
      </c>
      <c r="H162">
        <v>22</v>
      </c>
      <c r="I162">
        <v>200</v>
      </c>
      <c r="J162" t="s">
        <v>10</v>
      </c>
      <c r="K162" t="s">
        <v>841</v>
      </c>
      <c r="L162" t="s">
        <v>348</v>
      </c>
    </row>
    <row r="163" spans="1:12" x14ac:dyDescent="0.25">
      <c r="A163" t="s">
        <v>540</v>
      </c>
      <c r="B163" t="s">
        <v>541</v>
      </c>
      <c r="C163">
        <v>51</v>
      </c>
      <c r="D163" t="s">
        <v>50</v>
      </c>
      <c r="G163" t="s">
        <v>102</v>
      </c>
      <c r="H163">
        <v>22</v>
      </c>
      <c r="I163">
        <v>720</v>
      </c>
      <c r="J163" t="s">
        <v>883</v>
      </c>
      <c r="K163" t="s">
        <v>442</v>
      </c>
      <c r="L163" t="s">
        <v>164</v>
      </c>
    </row>
    <row r="164" spans="1:12" x14ac:dyDescent="0.25">
      <c r="A164" t="s">
        <v>542</v>
      </c>
      <c r="B164" t="s">
        <v>543</v>
      </c>
      <c r="C164">
        <v>51</v>
      </c>
      <c r="D164" t="s">
        <v>50</v>
      </c>
      <c r="G164" t="s">
        <v>50</v>
      </c>
      <c r="H164">
        <v>51</v>
      </c>
      <c r="I164">
        <v>10000</v>
      </c>
      <c r="J164" t="s">
        <v>1029</v>
      </c>
      <c r="K164" t="s">
        <v>510</v>
      </c>
      <c r="L164" t="s">
        <v>49</v>
      </c>
    </row>
    <row r="165" spans="1:12" x14ac:dyDescent="0.25">
      <c r="A165" t="s">
        <v>544</v>
      </c>
      <c r="B165" t="s">
        <v>545</v>
      </c>
      <c r="C165">
        <v>51</v>
      </c>
      <c r="D165" t="s">
        <v>50</v>
      </c>
      <c r="G165" t="s">
        <v>50</v>
      </c>
      <c r="H165">
        <v>51</v>
      </c>
      <c r="I165">
        <v>16200</v>
      </c>
      <c r="J165" t="s">
        <v>1074</v>
      </c>
      <c r="K165" t="s">
        <v>1071</v>
      </c>
      <c r="L165" t="s">
        <v>1031</v>
      </c>
    </row>
    <row r="166" spans="1:12" x14ac:dyDescent="0.25">
      <c r="A166" t="s">
        <v>546</v>
      </c>
      <c r="B166" t="s">
        <v>547</v>
      </c>
      <c r="C166">
        <v>51</v>
      </c>
      <c r="D166" t="s">
        <v>50</v>
      </c>
      <c r="G166" t="s">
        <v>50</v>
      </c>
      <c r="H166">
        <v>51</v>
      </c>
      <c r="I166">
        <v>10000</v>
      </c>
      <c r="J166" t="s">
        <v>1029</v>
      </c>
      <c r="K166" t="s">
        <v>511</v>
      </c>
      <c r="L166" t="s">
        <v>512</v>
      </c>
    </row>
    <row r="167" spans="1:12" x14ac:dyDescent="0.25">
      <c r="A167" t="s">
        <v>548</v>
      </c>
      <c r="B167" t="s">
        <v>198</v>
      </c>
      <c r="C167">
        <v>51</v>
      </c>
      <c r="D167" t="s">
        <v>50</v>
      </c>
      <c r="G167" t="s">
        <v>50</v>
      </c>
      <c r="H167">
        <v>51</v>
      </c>
      <c r="I167">
        <v>16200</v>
      </c>
      <c r="J167" t="s">
        <v>1074</v>
      </c>
      <c r="K167" t="s">
        <v>513</v>
      </c>
      <c r="L167" t="s">
        <v>1072</v>
      </c>
    </row>
    <row r="168" spans="1:12" x14ac:dyDescent="0.25">
      <c r="A168" t="s">
        <v>549</v>
      </c>
      <c r="B168" t="s">
        <v>70</v>
      </c>
      <c r="C168">
        <v>51</v>
      </c>
      <c r="D168" t="s">
        <v>71</v>
      </c>
      <c r="G168" t="s">
        <v>50</v>
      </c>
      <c r="H168">
        <v>51</v>
      </c>
      <c r="I168">
        <v>16200</v>
      </c>
      <c r="J168" t="s">
        <v>1074</v>
      </c>
      <c r="K168" t="s">
        <v>515</v>
      </c>
      <c r="L168" t="s">
        <v>1073</v>
      </c>
    </row>
    <row r="169" spans="1:12" x14ac:dyDescent="0.25">
      <c r="A169" t="s">
        <v>550</v>
      </c>
      <c r="B169" t="s">
        <v>205</v>
      </c>
      <c r="C169">
        <v>51</v>
      </c>
      <c r="D169" t="s">
        <v>71</v>
      </c>
      <c r="G169" t="s">
        <v>50</v>
      </c>
      <c r="H169">
        <v>51</v>
      </c>
      <c r="I169">
        <v>16200</v>
      </c>
      <c r="J169" t="s">
        <v>1074</v>
      </c>
      <c r="K169" t="s">
        <v>517</v>
      </c>
      <c r="L169" t="s">
        <v>1075</v>
      </c>
    </row>
    <row r="170" spans="1:12" x14ac:dyDescent="0.25">
      <c r="A170" t="s">
        <v>551</v>
      </c>
      <c r="B170" t="s">
        <v>73</v>
      </c>
      <c r="C170">
        <v>51</v>
      </c>
      <c r="D170" t="s">
        <v>71</v>
      </c>
      <c r="G170" t="s">
        <v>50</v>
      </c>
      <c r="H170">
        <v>51</v>
      </c>
      <c r="I170">
        <v>16200</v>
      </c>
      <c r="J170" t="s">
        <v>1074</v>
      </c>
      <c r="K170" t="s">
        <v>519</v>
      </c>
      <c r="L170" t="s">
        <v>520</v>
      </c>
    </row>
    <row r="171" spans="1:12" x14ac:dyDescent="0.25">
      <c r="A171" t="s">
        <v>552</v>
      </c>
      <c r="B171" t="s">
        <v>208</v>
      </c>
      <c r="C171">
        <v>51</v>
      </c>
      <c r="D171" t="s">
        <v>71</v>
      </c>
      <c r="G171" t="s">
        <v>50</v>
      </c>
      <c r="H171">
        <v>51</v>
      </c>
      <c r="I171">
        <v>16200</v>
      </c>
      <c r="J171" t="s">
        <v>1074</v>
      </c>
      <c r="K171" t="s">
        <v>521</v>
      </c>
      <c r="L171" t="s">
        <v>522</v>
      </c>
    </row>
    <row r="172" spans="1:12" x14ac:dyDescent="0.25">
      <c r="A172" t="s">
        <v>553</v>
      </c>
      <c r="B172" t="s">
        <v>210</v>
      </c>
      <c r="C172">
        <v>51</v>
      </c>
      <c r="D172" t="s">
        <v>71</v>
      </c>
      <c r="G172" t="s">
        <v>50</v>
      </c>
      <c r="H172">
        <v>51</v>
      </c>
      <c r="I172">
        <v>11500</v>
      </c>
      <c r="J172" t="s">
        <v>54</v>
      </c>
      <c r="K172" t="s">
        <v>523</v>
      </c>
      <c r="L172" t="s">
        <v>54</v>
      </c>
    </row>
    <row r="173" spans="1:12" x14ac:dyDescent="0.25">
      <c r="A173" t="s">
        <v>554</v>
      </c>
      <c r="B173" t="s">
        <v>215</v>
      </c>
      <c r="C173">
        <v>51</v>
      </c>
      <c r="D173" t="s">
        <v>71</v>
      </c>
      <c r="G173" t="s">
        <v>50</v>
      </c>
      <c r="H173">
        <v>51</v>
      </c>
      <c r="I173">
        <v>11510</v>
      </c>
      <c r="J173" t="s">
        <v>177</v>
      </c>
      <c r="K173" t="s">
        <v>524</v>
      </c>
      <c r="L173" t="s">
        <v>177</v>
      </c>
    </row>
    <row r="174" spans="1:12" x14ac:dyDescent="0.25">
      <c r="A174" t="s">
        <v>555</v>
      </c>
      <c r="B174" t="s">
        <v>217</v>
      </c>
      <c r="C174">
        <v>51</v>
      </c>
      <c r="D174" t="s">
        <v>71</v>
      </c>
      <c r="G174" t="s">
        <v>50</v>
      </c>
      <c r="H174">
        <v>51</v>
      </c>
      <c r="I174">
        <v>0</v>
      </c>
      <c r="J174" t="e">
        <v>#N/A</v>
      </c>
      <c r="K174" t="s">
        <v>526</v>
      </c>
      <c r="L174" t="s">
        <v>527</v>
      </c>
    </row>
    <row r="175" spans="1:12" x14ac:dyDescent="0.25">
      <c r="A175" t="s">
        <v>556</v>
      </c>
      <c r="B175" t="s">
        <v>219</v>
      </c>
      <c r="C175">
        <v>51</v>
      </c>
      <c r="D175" t="s">
        <v>71</v>
      </c>
      <c r="G175" t="s">
        <v>50</v>
      </c>
      <c r="H175">
        <v>51</v>
      </c>
      <c r="I175">
        <v>11500</v>
      </c>
      <c r="J175" t="s">
        <v>54</v>
      </c>
      <c r="K175" t="s">
        <v>528</v>
      </c>
      <c r="L175" t="s">
        <v>179</v>
      </c>
    </row>
    <row r="176" spans="1:12" x14ac:dyDescent="0.25">
      <c r="A176" t="s">
        <v>557</v>
      </c>
      <c r="B176" t="s">
        <v>221</v>
      </c>
      <c r="C176">
        <v>51</v>
      </c>
      <c r="D176" t="s">
        <v>71</v>
      </c>
      <c r="G176" t="s">
        <v>50</v>
      </c>
      <c r="H176">
        <v>51</v>
      </c>
      <c r="I176">
        <v>11570</v>
      </c>
      <c r="J176" t="s">
        <v>1076</v>
      </c>
      <c r="K176" t="s">
        <v>530</v>
      </c>
      <c r="L176" t="s">
        <v>531</v>
      </c>
    </row>
    <row r="177" spans="1:12" x14ac:dyDescent="0.25">
      <c r="A177" t="s">
        <v>558</v>
      </c>
      <c r="B177" t="s">
        <v>89</v>
      </c>
      <c r="C177">
        <v>51</v>
      </c>
      <c r="D177" t="s">
        <v>71</v>
      </c>
      <c r="G177" t="s">
        <v>50</v>
      </c>
      <c r="H177">
        <v>51</v>
      </c>
      <c r="I177">
        <v>14300</v>
      </c>
      <c r="J177" t="s">
        <v>56</v>
      </c>
      <c r="K177" t="s">
        <v>532</v>
      </c>
      <c r="L177" t="s">
        <v>56</v>
      </c>
    </row>
    <row r="178" spans="1:12" x14ac:dyDescent="0.25">
      <c r="A178" t="s">
        <v>559</v>
      </c>
      <c r="B178" t="s">
        <v>224</v>
      </c>
      <c r="C178">
        <v>51</v>
      </c>
      <c r="D178" t="s">
        <v>71</v>
      </c>
      <c r="G178" t="s">
        <v>50</v>
      </c>
      <c r="H178">
        <v>51</v>
      </c>
      <c r="I178">
        <v>16320</v>
      </c>
      <c r="J178" t="s">
        <v>796</v>
      </c>
      <c r="K178" t="s">
        <v>534</v>
      </c>
      <c r="L178" t="s">
        <v>535</v>
      </c>
    </row>
    <row r="179" spans="1:12" x14ac:dyDescent="0.25">
      <c r="A179" t="s">
        <v>560</v>
      </c>
      <c r="B179" t="s">
        <v>91</v>
      </c>
      <c r="C179">
        <v>51</v>
      </c>
      <c r="D179" t="s">
        <v>71</v>
      </c>
      <c r="G179" t="s">
        <v>50</v>
      </c>
      <c r="H179">
        <v>51</v>
      </c>
      <c r="I179">
        <v>16300</v>
      </c>
      <c r="J179" t="s">
        <v>1010</v>
      </c>
      <c r="K179" t="s">
        <v>536</v>
      </c>
      <c r="L179" t="s">
        <v>537</v>
      </c>
    </row>
    <row r="180" spans="1:12" x14ac:dyDescent="0.25">
      <c r="A180" t="s">
        <v>561</v>
      </c>
      <c r="B180" t="s">
        <v>227</v>
      </c>
      <c r="C180">
        <v>51</v>
      </c>
      <c r="D180" t="s">
        <v>71</v>
      </c>
      <c r="G180" t="s">
        <v>50</v>
      </c>
      <c r="H180">
        <v>51</v>
      </c>
      <c r="I180">
        <v>16310</v>
      </c>
      <c r="J180" t="s">
        <v>539</v>
      </c>
      <c r="K180" t="s">
        <v>538</v>
      </c>
      <c r="L180" t="s">
        <v>539</v>
      </c>
    </row>
    <row r="181" spans="1:12" x14ac:dyDescent="0.25">
      <c r="A181" t="s">
        <v>562</v>
      </c>
      <c r="B181" t="s">
        <v>563</v>
      </c>
      <c r="C181">
        <v>51</v>
      </c>
      <c r="D181" t="s">
        <v>71</v>
      </c>
      <c r="G181" t="s">
        <v>50</v>
      </c>
      <c r="H181">
        <v>51</v>
      </c>
      <c r="I181">
        <v>16310</v>
      </c>
      <c r="J181" t="s">
        <v>539</v>
      </c>
      <c r="K181" t="s">
        <v>540</v>
      </c>
      <c r="L181" t="s">
        <v>541</v>
      </c>
    </row>
    <row r="182" spans="1:12" x14ac:dyDescent="0.25">
      <c r="A182" t="s">
        <v>564</v>
      </c>
      <c r="B182" t="s">
        <v>231</v>
      </c>
      <c r="C182">
        <v>51</v>
      </c>
      <c r="D182" t="s">
        <v>71</v>
      </c>
      <c r="G182" t="s">
        <v>50</v>
      </c>
      <c r="H182">
        <v>51</v>
      </c>
      <c r="I182">
        <v>16320</v>
      </c>
      <c r="J182" t="s">
        <v>796</v>
      </c>
      <c r="K182" t="s">
        <v>542</v>
      </c>
      <c r="L182" t="s">
        <v>543</v>
      </c>
    </row>
    <row r="183" spans="1:12" x14ac:dyDescent="0.25">
      <c r="A183" t="s">
        <v>565</v>
      </c>
      <c r="B183" t="s">
        <v>235</v>
      </c>
      <c r="C183">
        <v>51</v>
      </c>
      <c r="D183" t="s">
        <v>71</v>
      </c>
      <c r="G183" t="s">
        <v>50</v>
      </c>
      <c r="H183">
        <v>51</v>
      </c>
      <c r="I183">
        <v>16500</v>
      </c>
      <c r="J183" t="s">
        <v>1033</v>
      </c>
      <c r="K183" t="s">
        <v>544</v>
      </c>
      <c r="L183" t="s">
        <v>1035</v>
      </c>
    </row>
    <row r="184" spans="1:12" x14ac:dyDescent="0.25">
      <c r="A184" t="s">
        <v>566</v>
      </c>
      <c r="B184" t="s">
        <v>567</v>
      </c>
      <c r="C184">
        <v>51</v>
      </c>
      <c r="D184" t="s">
        <v>71</v>
      </c>
      <c r="G184" t="s">
        <v>50</v>
      </c>
      <c r="H184">
        <v>51</v>
      </c>
      <c r="I184">
        <v>16600</v>
      </c>
      <c r="J184" t="s">
        <v>547</v>
      </c>
      <c r="K184" t="s">
        <v>546</v>
      </c>
      <c r="L184" t="s">
        <v>547</v>
      </c>
    </row>
    <row r="185" spans="1:12" x14ac:dyDescent="0.25">
      <c r="A185" t="s">
        <v>568</v>
      </c>
      <c r="B185" t="s">
        <v>569</v>
      </c>
      <c r="C185">
        <v>51</v>
      </c>
      <c r="D185" t="s">
        <v>71</v>
      </c>
      <c r="G185" t="s">
        <v>50</v>
      </c>
      <c r="H185">
        <v>51</v>
      </c>
      <c r="I185">
        <v>16900</v>
      </c>
      <c r="J185" t="s">
        <v>198</v>
      </c>
      <c r="K185" t="s">
        <v>548</v>
      </c>
      <c r="L185" t="s">
        <v>198</v>
      </c>
    </row>
    <row r="186" spans="1:12" x14ac:dyDescent="0.25">
      <c r="A186" t="s">
        <v>570</v>
      </c>
      <c r="B186" t="s">
        <v>237</v>
      </c>
      <c r="C186">
        <v>51</v>
      </c>
      <c r="D186" t="s">
        <v>71</v>
      </c>
      <c r="G186" t="s">
        <v>50</v>
      </c>
      <c r="H186">
        <v>51</v>
      </c>
      <c r="I186">
        <v>17000</v>
      </c>
      <c r="J186" t="s">
        <v>64</v>
      </c>
      <c r="K186" t="s">
        <v>1188</v>
      </c>
      <c r="L186" t="s">
        <v>64</v>
      </c>
    </row>
    <row r="187" spans="1:12" x14ac:dyDescent="0.25">
      <c r="A187" t="s">
        <v>571</v>
      </c>
      <c r="B187" t="s">
        <v>235</v>
      </c>
      <c r="C187">
        <v>51</v>
      </c>
      <c r="D187" t="s">
        <v>71</v>
      </c>
      <c r="G187" t="s">
        <v>50</v>
      </c>
      <c r="H187">
        <v>51</v>
      </c>
      <c r="I187">
        <v>17010</v>
      </c>
      <c r="J187" t="s">
        <v>66</v>
      </c>
      <c r="K187" t="s">
        <v>842</v>
      </c>
      <c r="L187" t="s">
        <v>201</v>
      </c>
    </row>
    <row r="188" spans="1:12" x14ac:dyDescent="0.25">
      <c r="A188" t="s">
        <v>572</v>
      </c>
      <c r="B188" t="s">
        <v>459</v>
      </c>
      <c r="C188">
        <v>51</v>
      </c>
      <c r="D188" t="s">
        <v>71</v>
      </c>
      <c r="G188" t="s">
        <v>71</v>
      </c>
      <c r="H188">
        <v>51</v>
      </c>
      <c r="I188">
        <v>21100</v>
      </c>
      <c r="J188" t="s">
        <v>70</v>
      </c>
      <c r="K188" t="s">
        <v>549</v>
      </c>
      <c r="L188" t="s">
        <v>70</v>
      </c>
    </row>
    <row r="189" spans="1:12" x14ac:dyDescent="0.25">
      <c r="A189" t="s">
        <v>573</v>
      </c>
      <c r="B189" t="s">
        <v>235</v>
      </c>
      <c r="C189">
        <v>51</v>
      </c>
      <c r="D189" t="s">
        <v>71</v>
      </c>
      <c r="G189" t="s">
        <v>71</v>
      </c>
      <c r="H189">
        <v>51</v>
      </c>
      <c r="I189">
        <v>21100</v>
      </c>
      <c r="J189" t="s">
        <v>70</v>
      </c>
      <c r="K189" t="s">
        <v>550</v>
      </c>
      <c r="L189" t="s">
        <v>1177</v>
      </c>
    </row>
    <row r="190" spans="1:12" x14ac:dyDescent="0.25">
      <c r="A190" t="s">
        <v>574</v>
      </c>
      <c r="B190" t="s">
        <v>575</v>
      </c>
      <c r="C190">
        <v>51</v>
      </c>
      <c r="D190" t="s">
        <v>71</v>
      </c>
      <c r="G190" t="s">
        <v>71</v>
      </c>
      <c r="H190">
        <v>51</v>
      </c>
      <c r="I190">
        <v>21100</v>
      </c>
      <c r="J190" t="s">
        <v>70</v>
      </c>
      <c r="K190" t="s">
        <v>843</v>
      </c>
      <c r="L190" t="s">
        <v>844</v>
      </c>
    </row>
    <row r="191" spans="1:12" x14ac:dyDescent="0.25">
      <c r="A191" t="s">
        <v>576</v>
      </c>
      <c r="B191" t="s">
        <v>235</v>
      </c>
      <c r="C191">
        <v>51</v>
      </c>
      <c r="D191" t="s">
        <v>71</v>
      </c>
      <c r="G191" t="s">
        <v>71</v>
      </c>
      <c r="H191">
        <v>51</v>
      </c>
      <c r="I191">
        <v>22200</v>
      </c>
      <c r="J191" t="s">
        <v>1040</v>
      </c>
      <c r="K191" t="s">
        <v>551</v>
      </c>
      <c r="L191" t="s">
        <v>73</v>
      </c>
    </row>
    <row r="192" spans="1:12" x14ac:dyDescent="0.25">
      <c r="A192" t="s">
        <v>577</v>
      </c>
      <c r="B192" t="s">
        <v>246</v>
      </c>
      <c r="C192">
        <v>51</v>
      </c>
      <c r="D192" t="s">
        <v>71</v>
      </c>
      <c r="G192" t="s">
        <v>71</v>
      </c>
      <c r="H192">
        <v>51</v>
      </c>
      <c r="I192">
        <v>22200</v>
      </c>
      <c r="J192" t="s">
        <v>1040</v>
      </c>
      <c r="K192" t="s">
        <v>552</v>
      </c>
      <c r="L192" t="s">
        <v>208</v>
      </c>
    </row>
    <row r="193" spans="1:12" x14ac:dyDescent="0.25">
      <c r="A193" t="s">
        <v>578</v>
      </c>
      <c r="B193" t="s">
        <v>579</v>
      </c>
      <c r="C193">
        <v>51</v>
      </c>
      <c r="D193" t="s">
        <v>97</v>
      </c>
      <c r="G193" t="s">
        <v>71</v>
      </c>
      <c r="H193">
        <v>51</v>
      </c>
      <c r="I193">
        <v>22200</v>
      </c>
      <c r="J193" t="s">
        <v>1040</v>
      </c>
      <c r="K193" t="s">
        <v>553</v>
      </c>
      <c r="L193" t="s">
        <v>210</v>
      </c>
    </row>
    <row r="194" spans="1:12" x14ac:dyDescent="0.25">
      <c r="A194" t="s">
        <v>580</v>
      </c>
      <c r="B194" t="s">
        <v>581</v>
      </c>
      <c r="C194">
        <v>51</v>
      </c>
      <c r="D194" t="s">
        <v>97</v>
      </c>
      <c r="G194" t="s">
        <v>71</v>
      </c>
      <c r="H194">
        <v>51</v>
      </c>
      <c r="I194">
        <v>28560</v>
      </c>
      <c r="J194" t="s">
        <v>79</v>
      </c>
      <c r="K194" t="s">
        <v>845</v>
      </c>
      <c r="L194" t="s">
        <v>79</v>
      </c>
    </row>
    <row r="195" spans="1:12" x14ac:dyDescent="0.25">
      <c r="A195" t="s">
        <v>582</v>
      </c>
      <c r="B195" t="s">
        <v>583</v>
      </c>
      <c r="C195">
        <v>51</v>
      </c>
      <c r="D195" t="s">
        <v>97</v>
      </c>
      <c r="G195" t="s">
        <v>71</v>
      </c>
      <c r="H195">
        <v>51</v>
      </c>
      <c r="I195">
        <v>22520</v>
      </c>
      <c r="J195" t="s">
        <v>1041</v>
      </c>
      <c r="K195" t="s">
        <v>846</v>
      </c>
      <c r="L195" t="s">
        <v>213</v>
      </c>
    </row>
    <row r="196" spans="1:12" x14ac:dyDescent="0.25">
      <c r="A196" t="s">
        <v>584</v>
      </c>
      <c r="B196" t="s">
        <v>585</v>
      </c>
      <c r="C196">
        <v>51</v>
      </c>
      <c r="D196" t="s">
        <v>97</v>
      </c>
      <c r="G196" t="s">
        <v>71</v>
      </c>
      <c r="H196">
        <v>51</v>
      </c>
      <c r="I196">
        <v>22200</v>
      </c>
      <c r="J196" t="s">
        <v>1040</v>
      </c>
      <c r="K196" t="s">
        <v>554</v>
      </c>
      <c r="L196" t="s">
        <v>215</v>
      </c>
    </row>
    <row r="197" spans="1:12" x14ac:dyDescent="0.25">
      <c r="A197" t="s">
        <v>586</v>
      </c>
      <c r="B197" t="s">
        <v>587</v>
      </c>
      <c r="C197">
        <v>51</v>
      </c>
      <c r="D197" t="s">
        <v>97</v>
      </c>
      <c r="G197" t="s">
        <v>71</v>
      </c>
      <c r="H197">
        <v>51</v>
      </c>
      <c r="I197">
        <v>22200</v>
      </c>
      <c r="J197" t="s">
        <v>1040</v>
      </c>
      <c r="K197" t="s">
        <v>555</v>
      </c>
      <c r="L197" t="s">
        <v>217</v>
      </c>
    </row>
    <row r="198" spans="1:12" x14ac:dyDescent="0.25">
      <c r="A198" t="s">
        <v>588</v>
      </c>
      <c r="B198" t="s">
        <v>589</v>
      </c>
      <c r="C198">
        <v>51</v>
      </c>
      <c r="D198" t="s">
        <v>97</v>
      </c>
      <c r="G198" t="s">
        <v>71</v>
      </c>
      <c r="H198">
        <v>51</v>
      </c>
      <c r="I198">
        <v>22200</v>
      </c>
      <c r="J198" t="s">
        <v>1040</v>
      </c>
      <c r="K198" t="s">
        <v>556</v>
      </c>
      <c r="L198" t="s">
        <v>219</v>
      </c>
    </row>
    <row r="199" spans="1:12" x14ac:dyDescent="0.25">
      <c r="A199" t="s">
        <v>590</v>
      </c>
      <c r="B199" t="s">
        <v>591</v>
      </c>
      <c r="C199">
        <v>51</v>
      </c>
      <c r="D199" t="s">
        <v>97</v>
      </c>
      <c r="G199" t="s">
        <v>71</v>
      </c>
      <c r="H199">
        <v>51</v>
      </c>
      <c r="I199">
        <v>23000</v>
      </c>
      <c r="J199" t="s">
        <v>221</v>
      </c>
      <c r="K199" t="s">
        <v>557</v>
      </c>
      <c r="L199" t="s">
        <v>221</v>
      </c>
    </row>
    <row r="200" spans="1:12" x14ac:dyDescent="0.25">
      <c r="A200" t="s">
        <v>592</v>
      </c>
      <c r="B200" t="s">
        <v>593</v>
      </c>
      <c r="C200">
        <v>51</v>
      </c>
      <c r="D200" t="s">
        <v>97</v>
      </c>
      <c r="G200" t="s">
        <v>71</v>
      </c>
      <c r="H200">
        <v>51</v>
      </c>
      <c r="I200">
        <v>22200</v>
      </c>
      <c r="J200" t="s">
        <v>1040</v>
      </c>
      <c r="K200" t="s">
        <v>558</v>
      </c>
      <c r="L200" t="s">
        <v>89</v>
      </c>
    </row>
    <row r="201" spans="1:12" x14ac:dyDescent="0.25">
      <c r="A201" t="s">
        <v>594</v>
      </c>
      <c r="B201" t="s">
        <v>256</v>
      </c>
      <c r="C201">
        <v>51</v>
      </c>
      <c r="D201" t="s">
        <v>97</v>
      </c>
      <c r="G201" t="s">
        <v>71</v>
      </c>
      <c r="H201">
        <v>51</v>
      </c>
      <c r="I201">
        <v>22250</v>
      </c>
      <c r="J201" t="s">
        <v>1178</v>
      </c>
      <c r="K201" t="s">
        <v>559</v>
      </c>
      <c r="L201" t="s">
        <v>1178</v>
      </c>
    </row>
    <row r="202" spans="1:12" x14ac:dyDescent="0.25">
      <c r="A202" t="s">
        <v>595</v>
      </c>
      <c r="B202" t="s">
        <v>99</v>
      </c>
      <c r="C202">
        <v>51</v>
      </c>
      <c r="D202" t="s">
        <v>97</v>
      </c>
      <c r="G202" t="s">
        <v>71</v>
      </c>
      <c r="H202">
        <v>51</v>
      </c>
      <c r="I202">
        <v>28000</v>
      </c>
      <c r="J202" t="s">
        <v>227</v>
      </c>
      <c r="K202" t="s">
        <v>561</v>
      </c>
      <c r="L202" t="s">
        <v>227</v>
      </c>
    </row>
    <row r="203" spans="1:12" x14ac:dyDescent="0.25">
      <c r="A203" t="s">
        <v>596</v>
      </c>
      <c r="B203" t="s">
        <v>259</v>
      </c>
      <c r="C203">
        <v>51</v>
      </c>
      <c r="D203" t="s">
        <v>97</v>
      </c>
      <c r="G203" t="s">
        <v>71</v>
      </c>
      <c r="H203">
        <v>51</v>
      </c>
      <c r="I203">
        <v>28510</v>
      </c>
      <c r="J203" t="s">
        <v>1179</v>
      </c>
      <c r="K203" t="s">
        <v>562</v>
      </c>
      <c r="L203" t="s">
        <v>563</v>
      </c>
    </row>
    <row r="204" spans="1:12" x14ac:dyDescent="0.25">
      <c r="A204" t="s">
        <v>597</v>
      </c>
      <c r="B204" t="s">
        <v>261</v>
      </c>
      <c r="C204">
        <v>51</v>
      </c>
      <c r="D204" t="s">
        <v>97</v>
      </c>
      <c r="G204" t="s">
        <v>71</v>
      </c>
      <c r="H204">
        <v>51</v>
      </c>
      <c r="I204">
        <v>0</v>
      </c>
      <c r="J204" t="e">
        <v>#N/A</v>
      </c>
      <c r="K204" t="s">
        <v>564</v>
      </c>
      <c r="L204" t="s">
        <v>231</v>
      </c>
    </row>
    <row r="205" spans="1:12" x14ac:dyDescent="0.25">
      <c r="A205" t="s">
        <v>598</v>
      </c>
      <c r="B205" t="s">
        <v>267</v>
      </c>
      <c r="C205">
        <v>51</v>
      </c>
      <c r="D205" t="s">
        <v>97</v>
      </c>
      <c r="G205" t="s">
        <v>71</v>
      </c>
      <c r="H205">
        <v>51</v>
      </c>
      <c r="I205">
        <v>28521</v>
      </c>
      <c r="J205" t="s">
        <v>1045</v>
      </c>
      <c r="K205" t="s">
        <v>565</v>
      </c>
      <c r="L205" t="s">
        <v>1189</v>
      </c>
    </row>
    <row r="206" spans="1:12" x14ac:dyDescent="0.25">
      <c r="A206" t="s">
        <v>599</v>
      </c>
      <c r="B206" t="s">
        <v>600</v>
      </c>
      <c r="C206">
        <v>51</v>
      </c>
      <c r="D206" t="s">
        <v>97</v>
      </c>
      <c r="G206" t="s">
        <v>71</v>
      </c>
      <c r="H206">
        <v>51</v>
      </c>
      <c r="I206">
        <v>28540</v>
      </c>
      <c r="J206" t="s">
        <v>1182</v>
      </c>
      <c r="K206" t="s">
        <v>566</v>
      </c>
      <c r="L206" t="s">
        <v>1077</v>
      </c>
    </row>
    <row r="207" spans="1:12" x14ac:dyDescent="0.25">
      <c r="A207" t="s">
        <v>601</v>
      </c>
      <c r="B207" t="s">
        <v>106</v>
      </c>
      <c r="C207">
        <v>51</v>
      </c>
      <c r="D207" t="s">
        <v>102</v>
      </c>
      <c r="G207" t="s">
        <v>71</v>
      </c>
      <c r="H207">
        <v>51</v>
      </c>
      <c r="I207">
        <v>28541</v>
      </c>
      <c r="J207" t="s">
        <v>1048</v>
      </c>
      <c r="K207" t="s">
        <v>568</v>
      </c>
      <c r="L207" t="s">
        <v>569</v>
      </c>
    </row>
    <row r="208" spans="1:12" x14ac:dyDescent="0.25">
      <c r="A208" t="s">
        <v>602</v>
      </c>
      <c r="B208" t="s">
        <v>603</v>
      </c>
      <c r="C208">
        <v>51</v>
      </c>
      <c r="D208" t="s">
        <v>102</v>
      </c>
      <c r="G208" t="s">
        <v>71</v>
      </c>
      <c r="H208">
        <v>51</v>
      </c>
      <c r="I208">
        <v>28521</v>
      </c>
      <c r="J208" t="s">
        <v>1045</v>
      </c>
      <c r="K208" t="s">
        <v>570</v>
      </c>
      <c r="L208" t="s">
        <v>237</v>
      </c>
    </row>
    <row r="209" spans="1:12" x14ac:dyDescent="0.25">
      <c r="A209" t="s">
        <v>604</v>
      </c>
      <c r="B209" t="s">
        <v>110</v>
      </c>
      <c r="C209">
        <v>51</v>
      </c>
      <c r="D209" t="s">
        <v>102</v>
      </c>
      <c r="G209" t="s">
        <v>71</v>
      </c>
      <c r="H209">
        <v>51</v>
      </c>
      <c r="I209">
        <v>28520</v>
      </c>
      <c r="J209" t="s">
        <v>1180</v>
      </c>
      <c r="K209" t="s">
        <v>574</v>
      </c>
      <c r="L209" t="s">
        <v>31</v>
      </c>
    </row>
    <row r="210" spans="1:12" x14ac:dyDescent="0.25">
      <c r="A210" t="s">
        <v>605</v>
      </c>
      <c r="B210" t="s">
        <v>112</v>
      </c>
      <c r="C210">
        <v>51</v>
      </c>
      <c r="D210" t="s">
        <v>102</v>
      </c>
      <c r="G210" t="s">
        <v>1049</v>
      </c>
      <c r="H210">
        <v>51</v>
      </c>
      <c r="I210">
        <v>29100</v>
      </c>
      <c r="J210" t="s">
        <v>1050</v>
      </c>
      <c r="K210" t="s">
        <v>577</v>
      </c>
      <c r="L210" t="s">
        <v>246</v>
      </c>
    </row>
    <row r="211" spans="1:12" x14ac:dyDescent="0.25">
      <c r="A211" t="s">
        <v>606</v>
      </c>
      <c r="B211" t="s">
        <v>114</v>
      </c>
      <c r="C211">
        <v>51</v>
      </c>
      <c r="D211" t="s">
        <v>102</v>
      </c>
      <c r="G211" t="s">
        <v>97</v>
      </c>
      <c r="H211">
        <v>51</v>
      </c>
      <c r="I211">
        <v>70</v>
      </c>
      <c r="J211" t="s">
        <v>20</v>
      </c>
      <c r="K211" t="s">
        <v>578</v>
      </c>
      <c r="L211" t="s">
        <v>982</v>
      </c>
    </row>
    <row r="212" spans="1:12" x14ac:dyDescent="0.25">
      <c r="A212" t="s">
        <v>607</v>
      </c>
      <c r="B212" t="s">
        <v>101</v>
      </c>
      <c r="C212">
        <v>51</v>
      </c>
      <c r="D212" t="s">
        <v>102</v>
      </c>
      <c r="G212" t="s">
        <v>97</v>
      </c>
      <c r="H212">
        <v>51</v>
      </c>
      <c r="I212">
        <v>30</v>
      </c>
      <c r="J212" t="s">
        <v>6</v>
      </c>
      <c r="K212" t="s">
        <v>580</v>
      </c>
      <c r="L212" t="s">
        <v>581</v>
      </c>
    </row>
    <row r="213" spans="1:12" x14ac:dyDescent="0.25">
      <c r="A213" t="s">
        <v>608</v>
      </c>
      <c r="B213" t="s">
        <v>104</v>
      </c>
      <c r="C213">
        <v>51</v>
      </c>
      <c r="D213" t="s">
        <v>102</v>
      </c>
      <c r="G213" t="s">
        <v>97</v>
      </c>
      <c r="H213">
        <v>51</v>
      </c>
      <c r="I213">
        <v>30</v>
      </c>
      <c r="J213" t="s">
        <v>6</v>
      </c>
      <c r="K213" t="s">
        <v>582</v>
      </c>
      <c r="L213" t="s">
        <v>583</v>
      </c>
    </row>
    <row r="214" spans="1:12" x14ac:dyDescent="0.25">
      <c r="A214" t="s">
        <v>609</v>
      </c>
      <c r="B214" t="s">
        <v>106</v>
      </c>
      <c r="C214">
        <v>51</v>
      </c>
      <c r="D214" t="s">
        <v>102</v>
      </c>
      <c r="G214" t="s">
        <v>97</v>
      </c>
      <c r="H214">
        <v>51</v>
      </c>
      <c r="I214">
        <v>30</v>
      </c>
      <c r="J214" t="s">
        <v>6</v>
      </c>
      <c r="K214" t="s">
        <v>584</v>
      </c>
      <c r="L214" t="s">
        <v>585</v>
      </c>
    </row>
    <row r="215" spans="1:12" x14ac:dyDescent="0.25">
      <c r="A215" t="s">
        <v>610</v>
      </c>
      <c r="B215" t="s">
        <v>108</v>
      </c>
      <c r="C215">
        <v>51</v>
      </c>
      <c r="D215" t="s">
        <v>102</v>
      </c>
      <c r="G215" t="s">
        <v>97</v>
      </c>
      <c r="H215">
        <v>51</v>
      </c>
      <c r="I215">
        <v>30</v>
      </c>
      <c r="J215" t="s">
        <v>6</v>
      </c>
      <c r="K215" t="s">
        <v>586</v>
      </c>
      <c r="L215" t="s">
        <v>587</v>
      </c>
    </row>
    <row r="216" spans="1:12" x14ac:dyDescent="0.25">
      <c r="A216" t="s">
        <v>611</v>
      </c>
      <c r="B216" t="s">
        <v>110</v>
      </c>
      <c r="C216">
        <v>51</v>
      </c>
      <c r="D216" t="s">
        <v>102</v>
      </c>
      <c r="G216" t="s">
        <v>97</v>
      </c>
      <c r="H216">
        <v>51</v>
      </c>
      <c r="I216">
        <v>30</v>
      </c>
      <c r="J216" t="s">
        <v>6</v>
      </c>
      <c r="K216" t="s">
        <v>588</v>
      </c>
      <c r="L216" t="s">
        <v>589</v>
      </c>
    </row>
    <row r="217" spans="1:12" x14ac:dyDescent="0.25">
      <c r="A217" t="s">
        <v>612</v>
      </c>
      <c r="B217" t="s">
        <v>112</v>
      </c>
      <c r="C217">
        <v>51</v>
      </c>
      <c r="D217" t="s">
        <v>102</v>
      </c>
      <c r="G217" t="s">
        <v>97</v>
      </c>
      <c r="H217">
        <v>51</v>
      </c>
      <c r="I217">
        <v>30</v>
      </c>
      <c r="J217" t="s">
        <v>6</v>
      </c>
      <c r="K217" t="s">
        <v>590</v>
      </c>
      <c r="L217" t="s">
        <v>591</v>
      </c>
    </row>
    <row r="218" spans="1:12" x14ac:dyDescent="0.25">
      <c r="A218" t="s">
        <v>613</v>
      </c>
      <c r="B218" t="s">
        <v>114</v>
      </c>
      <c r="C218">
        <v>51</v>
      </c>
      <c r="D218" t="s">
        <v>102</v>
      </c>
      <c r="G218" t="s">
        <v>97</v>
      </c>
      <c r="H218">
        <v>51</v>
      </c>
      <c r="I218">
        <v>30</v>
      </c>
      <c r="J218" t="s">
        <v>6</v>
      </c>
      <c r="K218" t="s">
        <v>592</v>
      </c>
      <c r="L218" t="s">
        <v>593</v>
      </c>
    </row>
    <row r="219" spans="1:12" x14ac:dyDescent="0.25">
      <c r="A219" t="s">
        <v>614</v>
      </c>
      <c r="B219" t="s">
        <v>276</v>
      </c>
      <c r="C219">
        <v>51</v>
      </c>
      <c r="D219" t="s">
        <v>102</v>
      </c>
      <c r="G219" t="s">
        <v>97</v>
      </c>
      <c r="H219">
        <v>51</v>
      </c>
      <c r="I219">
        <v>960</v>
      </c>
      <c r="J219" t="s">
        <v>19</v>
      </c>
      <c r="K219" t="s">
        <v>594</v>
      </c>
      <c r="L219" t="s">
        <v>256</v>
      </c>
    </row>
    <row r="220" spans="1:12" x14ac:dyDescent="0.25">
      <c r="A220" t="s">
        <v>615</v>
      </c>
      <c r="B220" t="s">
        <v>278</v>
      </c>
      <c r="C220">
        <v>51</v>
      </c>
      <c r="D220" t="s">
        <v>102</v>
      </c>
      <c r="G220" t="s">
        <v>97</v>
      </c>
      <c r="H220">
        <v>51</v>
      </c>
      <c r="I220">
        <v>30</v>
      </c>
      <c r="J220" t="s">
        <v>6</v>
      </c>
      <c r="K220" t="s">
        <v>595</v>
      </c>
      <c r="L220" t="s">
        <v>99</v>
      </c>
    </row>
    <row r="221" spans="1:12" x14ac:dyDescent="0.25">
      <c r="A221" t="s">
        <v>616</v>
      </c>
      <c r="B221" t="s">
        <v>280</v>
      </c>
      <c r="C221">
        <v>51</v>
      </c>
      <c r="D221" t="s">
        <v>102</v>
      </c>
      <c r="G221" t="s">
        <v>97</v>
      </c>
      <c r="H221">
        <v>51</v>
      </c>
      <c r="I221">
        <v>950</v>
      </c>
      <c r="J221" t="s">
        <v>17</v>
      </c>
      <c r="K221" t="s">
        <v>596</v>
      </c>
      <c r="L221" t="s">
        <v>259</v>
      </c>
    </row>
    <row r="222" spans="1:12" x14ac:dyDescent="0.25">
      <c r="A222" t="s">
        <v>617</v>
      </c>
      <c r="B222" t="s">
        <v>120</v>
      </c>
      <c r="C222">
        <v>51</v>
      </c>
      <c r="D222" t="s">
        <v>102</v>
      </c>
      <c r="G222" t="s">
        <v>97</v>
      </c>
      <c r="H222">
        <v>51</v>
      </c>
      <c r="I222">
        <v>960</v>
      </c>
      <c r="J222" t="s">
        <v>19</v>
      </c>
      <c r="K222" t="s">
        <v>597</v>
      </c>
      <c r="L222" t="s">
        <v>261</v>
      </c>
    </row>
    <row r="223" spans="1:12" x14ac:dyDescent="0.25">
      <c r="A223" t="s">
        <v>618</v>
      </c>
      <c r="B223" t="s">
        <v>124</v>
      </c>
      <c r="C223">
        <v>51</v>
      </c>
      <c r="D223" t="s">
        <v>102</v>
      </c>
      <c r="G223" t="s">
        <v>97</v>
      </c>
      <c r="H223">
        <v>51</v>
      </c>
      <c r="I223">
        <v>0</v>
      </c>
      <c r="J223" t="e">
        <v>#N/A</v>
      </c>
      <c r="K223" t="s">
        <v>598</v>
      </c>
      <c r="L223" t="s">
        <v>267</v>
      </c>
    </row>
    <row r="224" spans="1:12" x14ac:dyDescent="0.25">
      <c r="A224" t="s">
        <v>619</v>
      </c>
      <c r="B224" t="s">
        <v>126</v>
      </c>
      <c r="C224">
        <v>51</v>
      </c>
      <c r="D224" t="s">
        <v>102</v>
      </c>
      <c r="G224" t="s">
        <v>97</v>
      </c>
      <c r="H224">
        <v>51</v>
      </c>
      <c r="I224">
        <v>960</v>
      </c>
      <c r="J224" t="s">
        <v>19</v>
      </c>
      <c r="K224" t="s">
        <v>599</v>
      </c>
      <c r="L224" t="s">
        <v>600</v>
      </c>
    </row>
    <row r="225" spans="1:12" x14ac:dyDescent="0.25">
      <c r="A225" t="s">
        <v>620</v>
      </c>
      <c r="B225" t="s">
        <v>287</v>
      </c>
      <c r="C225">
        <v>51</v>
      </c>
      <c r="D225" t="s">
        <v>102</v>
      </c>
      <c r="G225" t="s">
        <v>102</v>
      </c>
      <c r="H225">
        <v>51</v>
      </c>
      <c r="I225">
        <v>100</v>
      </c>
      <c r="J225" t="s">
        <v>9</v>
      </c>
      <c r="K225" t="s">
        <v>607</v>
      </c>
      <c r="L225" t="s">
        <v>1078</v>
      </c>
    </row>
    <row r="226" spans="1:12" x14ac:dyDescent="0.25">
      <c r="A226" t="s">
        <v>621</v>
      </c>
      <c r="B226" t="s">
        <v>132</v>
      </c>
      <c r="C226">
        <v>51</v>
      </c>
      <c r="D226" t="s">
        <v>102</v>
      </c>
      <c r="G226" t="s">
        <v>102</v>
      </c>
      <c r="H226">
        <v>51</v>
      </c>
      <c r="I226">
        <v>100</v>
      </c>
      <c r="J226" t="s">
        <v>9</v>
      </c>
      <c r="K226" t="s">
        <v>608</v>
      </c>
      <c r="L226" t="s">
        <v>104</v>
      </c>
    </row>
    <row r="227" spans="1:12" x14ac:dyDescent="0.25">
      <c r="A227" t="s">
        <v>622</v>
      </c>
      <c r="B227" t="s">
        <v>291</v>
      </c>
      <c r="C227">
        <v>51</v>
      </c>
      <c r="D227" t="s">
        <v>102</v>
      </c>
      <c r="G227" t="s">
        <v>102</v>
      </c>
      <c r="H227">
        <v>51</v>
      </c>
      <c r="I227">
        <v>100</v>
      </c>
      <c r="J227" t="s">
        <v>9</v>
      </c>
      <c r="K227" t="s">
        <v>609</v>
      </c>
      <c r="L227" t="s">
        <v>106</v>
      </c>
    </row>
    <row r="228" spans="1:12" x14ac:dyDescent="0.25">
      <c r="A228" t="s">
        <v>623</v>
      </c>
      <c r="B228" t="s">
        <v>295</v>
      </c>
      <c r="C228">
        <v>51</v>
      </c>
      <c r="D228" t="s">
        <v>102</v>
      </c>
      <c r="G228" t="s">
        <v>102</v>
      </c>
      <c r="H228">
        <v>51</v>
      </c>
      <c r="I228">
        <v>100</v>
      </c>
      <c r="J228" t="s">
        <v>9</v>
      </c>
      <c r="K228" t="s">
        <v>610</v>
      </c>
      <c r="L228" t="s">
        <v>108</v>
      </c>
    </row>
    <row r="229" spans="1:12" x14ac:dyDescent="0.25">
      <c r="A229" t="s">
        <v>624</v>
      </c>
      <c r="B229" t="s">
        <v>297</v>
      </c>
      <c r="C229">
        <v>51</v>
      </c>
      <c r="D229" t="s">
        <v>102</v>
      </c>
      <c r="G229" t="s">
        <v>102</v>
      </c>
      <c r="H229">
        <v>51</v>
      </c>
      <c r="I229">
        <v>100</v>
      </c>
      <c r="J229" t="s">
        <v>9</v>
      </c>
      <c r="K229" t="s">
        <v>611</v>
      </c>
      <c r="L229" t="s">
        <v>110</v>
      </c>
    </row>
    <row r="230" spans="1:12" x14ac:dyDescent="0.25">
      <c r="A230" t="s">
        <v>625</v>
      </c>
      <c r="B230" t="s">
        <v>303</v>
      </c>
      <c r="C230">
        <v>51</v>
      </c>
      <c r="D230" t="s">
        <v>102</v>
      </c>
      <c r="G230" t="s">
        <v>102</v>
      </c>
      <c r="H230">
        <v>51</v>
      </c>
      <c r="I230">
        <v>100</v>
      </c>
      <c r="J230" t="s">
        <v>9</v>
      </c>
      <c r="K230" t="s">
        <v>612</v>
      </c>
      <c r="L230" t="s">
        <v>112</v>
      </c>
    </row>
    <row r="231" spans="1:12" x14ac:dyDescent="0.25">
      <c r="A231" t="s">
        <v>626</v>
      </c>
      <c r="B231" t="s">
        <v>627</v>
      </c>
      <c r="C231">
        <v>51</v>
      </c>
      <c r="D231" t="s">
        <v>102</v>
      </c>
      <c r="G231" t="s">
        <v>102</v>
      </c>
      <c r="H231">
        <v>51</v>
      </c>
      <c r="I231">
        <v>100</v>
      </c>
      <c r="J231" t="s">
        <v>9</v>
      </c>
      <c r="K231" t="s">
        <v>613</v>
      </c>
      <c r="L231" t="s">
        <v>114</v>
      </c>
    </row>
    <row r="232" spans="1:12" x14ac:dyDescent="0.25">
      <c r="A232" t="s">
        <v>628</v>
      </c>
      <c r="B232" t="s">
        <v>311</v>
      </c>
      <c r="C232">
        <v>51</v>
      </c>
      <c r="D232" t="s">
        <v>102</v>
      </c>
      <c r="G232" t="s">
        <v>102</v>
      </c>
      <c r="H232">
        <v>51</v>
      </c>
      <c r="I232">
        <v>100</v>
      </c>
      <c r="J232" t="s">
        <v>9</v>
      </c>
      <c r="K232" t="s">
        <v>614</v>
      </c>
      <c r="L232" t="s">
        <v>276</v>
      </c>
    </row>
    <row r="233" spans="1:12" x14ac:dyDescent="0.25">
      <c r="A233" t="s">
        <v>629</v>
      </c>
      <c r="B233" t="s">
        <v>313</v>
      </c>
      <c r="C233">
        <v>51</v>
      </c>
      <c r="D233" t="s">
        <v>102</v>
      </c>
      <c r="G233" t="s">
        <v>102</v>
      </c>
      <c r="H233">
        <v>51</v>
      </c>
      <c r="I233">
        <v>200</v>
      </c>
      <c r="J233" t="s">
        <v>10</v>
      </c>
      <c r="K233" t="s">
        <v>616</v>
      </c>
      <c r="L233" t="s">
        <v>1054</v>
      </c>
    </row>
    <row r="234" spans="1:12" x14ac:dyDescent="0.25">
      <c r="A234" t="s">
        <v>630</v>
      </c>
      <c r="B234" t="s">
        <v>498</v>
      </c>
      <c r="C234">
        <v>51</v>
      </c>
      <c r="D234" t="s">
        <v>102</v>
      </c>
      <c r="G234" t="s">
        <v>102</v>
      </c>
      <c r="H234">
        <v>51</v>
      </c>
      <c r="I234">
        <v>200</v>
      </c>
      <c r="J234" t="s">
        <v>10</v>
      </c>
      <c r="K234" t="s">
        <v>617</v>
      </c>
      <c r="L234" t="s">
        <v>1055</v>
      </c>
    </row>
    <row r="235" spans="1:12" x14ac:dyDescent="0.25">
      <c r="A235" t="s">
        <v>631</v>
      </c>
      <c r="B235" t="s">
        <v>322</v>
      </c>
      <c r="C235">
        <v>51</v>
      </c>
      <c r="D235" t="s">
        <v>102</v>
      </c>
      <c r="G235" t="s">
        <v>102</v>
      </c>
      <c r="H235">
        <v>51</v>
      </c>
      <c r="I235">
        <v>200</v>
      </c>
      <c r="J235" t="s">
        <v>10</v>
      </c>
      <c r="K235" t="s">
        <v>618</v>
      </c>
      <c r="L235" t="s">
        <v>124</v>
      </c>
    </row>
    <row r="236" spans="1:12" x14ac:dyDescent="0.25">
      <c r="A236" t="s">
        <v>632</v>
      </c>
      <c r="B236" t="s">
        <v>633</v>
      </c>
      <c r="C236">
        <v>51</v>
      </c>
      <c r="D236" t="s">
        <v>102</v>
      </c>
      <c r="G236" t="s">
        <v>102</v>
      </c>
      <c r="H236">
        <v>51</v>
      </c>
      <c r="I236">
        <v>200</v>
      </c>
      <c r="J236" t="s">
        <v>10</v>
      </c>
      <c r="K236" t="s">
        <v>619</v>
      </c>
      <c r="L236" t="s">
        <v>126</v>
      </c>
    </row>
    <row r="237" spans="1:12" x14ac:dyDescent="0.25">
      <c r="A237" t="s">
        <v>634</v>
      </c>
      <c r="B237" t="s">
        <v>329</v>
      </c>
      <c r="C237">
        <v>51</v>
      </c>
      <c r="D237" t="s">
        <v>102</v>
      </c>
      <c r="G237" t="s">
        <v>102</v>
      </c>
      <c r="H237">
        <v>51</v>
      </c>
      <c r="I237">
        <v>200</v>
      </c>
      <c r="J237" t="s">
        <v>10</v>
      </c>
      <c r="K237" t="s">
        <v>620</v>
      </c>
      <c r="L237" t="s">
        <v>287</v>
      </c>
    </row>
    <row r="238" spans="1:12" x14ac:dyDescent="0.25">
      <c r="A238" t="s">
        <v>635</v>
      </c>
      <c r="B238" t="s">
        <v>636</v>
      </c>
      <c r="C238">
        <v>51</v>
      </c>
      <c r="D238" t="s">
        <v>102</v>
      </c>
      <c r="G238" t="s">
        <v>102</v>
      </c>
      <c r="H238">
        <v>51</v>
      </c>
      <c r="I238">
        <v>200</v>
      </c>
      <c r="J238" t="s">
        <v>10</v>
      </c>
      <c r="K238" t="s">
        <v>621</v>
      </c>
      <c r="L238" t="s">
        <v>132</v>
      </c>
    </row>
    <row r="239" spans="1:12" x14ac:dyDescent="0.25">
      <c r="A239" t="s">
        <v>637</v>
      </c>
      <c r="B239" t="s">
        <v>162</v>
      </c>
      <c r="C239">
        <v>51</v>
      </c>
      <c r="D239" t="s">
        <v>102</v>
      </c>
      <c r="G239" t="s">
        <v>102</v>
      </c>
      <c r="H239">
        <v>51</v>
      </c>
      <c r="I239">
        <v>200</v>
      </c>
      <c r="J239" t="s">
        <v>10</v>
      </c>
      <c r="K239" t="s">
        <v>622</v>
      </c>
      <c r="L239" t="s">
        <v>291</v>
      </c>
    </row>
    <row r="240" spans="1:12" x14ac:dyDescent="0.25">
      <c r="A240" t="s">
        <v>638</v>
      </c>
      <c r="B240" t="s">
        <v>348</v>
      </c>
      <c r="C240">
        <v>51</v>
      </c>
      <c r="D240" t="s">
        <v>102</v>
      </c>
      <c r="G240" t="s">
        <v>102</v>
      </c>
      <c r="H240">
        <v>51</v>
      </c>
      <c r="I240">
        <v>200</v>
      </c>
      <c r="J240" t="s">
        <v>10</v>
      </c>
      <c r="K240" t="s">
        <v>623</v>
      </c>
      <c r="L240" t="s">
        <v>295</v>
      </c>
    </row>
    <row r="241" spans="1:12" x14ac:dyDescent="0.25">
      <c r="A241" t="s">
        <v>639</v>
      </c>
      <c r="B241" t="s">
        <v>130</v>
      </c>
      <c r="C241">
        <v>51</v>
      </c>
      <c r="D241" t="s">
        <v>102</v>
      </c>
      <c r="G241" t="s">
        <v>102</v>
      </c>
      <c r="H241">
        <v>51</v>
      </c>
      <c r="I241">
        <v>200</v>
      </c>
      <c r="J241" t="s">
        <v>10</v>
      </c>
      <c r="K241" t="s">
        <v>624</v>
      </c>
      <c r="L241" t="s">
        <v>297</v>
      </c>
    </row>
    <row r="242" spans="1:12" x14ac:dyDescent="0.25">
      <c r="A242" t="s">
        <v>640</v>
      </c>
      <c r="B242" t="s">
        <v>132</v>
      </c>
      <c r="C242">
        <v>51</v>
      </c>
      <c r="D242" t="s">
        <v>102</v>
      </c>
      <c r="G242" t="s">
        <v>102</v>
      </c>
      <c r="H242">
        <v>51</v>
      </c>
      <c r="I242">
        <v>200</v>
      </c>
      <c r="J242" t="s">
        <v>10</v>
      </c>
      <c r="K242" t="s">
        <v>625</v>
      </c>
      <c r="L242" t="s">
        <v>303</v>
      </c>
    </row>
    <row r="243" spans="1:12" x14ac:dyDescent="0.25">
      <c r="A243" t="s">
        <v>641</v>
      </c>
      <c r="B243" t="s">
        <v>642</v>
      </c>
      <c r="C243">
        <v>51</v>
      </c>
      <c r="D243" t="s">
        <v>102</v>
      </c>
      <c r="G243" t="s">
        <v>102</v>
      </c>
      <c r="H243">
        <v>51</v>
      </c>
      <c r="I243">
        <v>200</v>
      </c>
      <c r="J243" t="s">
        <v>10</v>
      </c>
      <c r="K243" t="s">
        <v>848</v>
      </c>
      <c r="L243" t="s">
        <v>771</v>
      </c>
    </row>
    <row r="244" spans="1:12" x14ac:dyDescent="0.25">
      <c r="A244" t="s">
        <v>643</v>
      </c>
      <c r="B244" t="s">
        <v>644</v>
      </c>
      <c r="C244">
        <v>51</v>
      </c>
      <c r="D244" t="s">
        <v>102</v>
      </c>
      <c r="G244" t="s">
        <v>102</v>
      </c>
      <c r="H244">
        <v>51</v>
      </c>
      <c r="I244">
        <v>500</v>
      </c>
      <c r="J244" t="s">
        <v>11</v>
      </c>
      <c r="K244" t="s">
        <v>626</v>
      </c>
      <c r="L244" t="s">
        <v>754</v>
      </c>
    </row>
    <row r="245" spans="1:12" x14ac:dyDescent="0.25">
      <c r="A245" t="s">
        <v>645</v>
      </c>
      <c r="B245" t="s">
        <v>646</v>
      </c>
      <c r="C245">
        <v>51</v>
      </c>
      <c r="D245" t="s">
        <v>102</v>
      </c>
      <c r="G245" t="s">
        <v>102</v>
      </c>
      <c r="H245">
        <v>51</v>
      </c>
      <c r="I245">
        <v>500</v>
      </c>
      <c r="J245" t="s">
        <v>11</v>
      </c>
      <c r="K245" t="s">
        <v>628</v>
      </c>
      <c r="L245" t="s">
        <v>311</v>
      </c>
    </row>
    <row r="246" spans="1:12" x14ac:dyDescent="0.25">
      <c r="A246" t="s">
        <v>647</v>
      </c>
      <c r="B246" t="s">
        <v>303</v>
      </c>
      <c r="C246">
        <v>51</v>
      </c>
      <c r="D246" t="s">
        <v>102</v>
      </c>
      <c r="G246" t="s">
        <v>102</v>
      </c>
      <c r="H246">
        <v>51</v>
      </c>
      <c r="I246">
        <v>500</v>
      </c>
      <c r="J246" t="s">
        <v>11</v>
      </c>
      <c r="K246" t="s">
        <v>629</v>
      </c>
      <c r="L246" t="s">
        <v>313</v>
      </c>
    </row>
    <row r="247" spans="1:12" x14ac:dyDescent="0.25">
      <c r="A247" t="s">
        <v>648</v>
      </c>
      <c r="B247" t="s">
        <v>432</v>
      </c>
      <c r="C247">
        <v>51</v>
      </c>
      <c r="D247" t="s">
        <v>102</v>
      </c>
      <c r="G247" t="s">
        <v>102</v>
      </c>
      <c r="H247">
        <v>51</v>
      </c>
      <c r="I247">
        <v>500</v>
      </c>
      <c r="J247" t="s">
        <v>11</v>
      </c>
      <c r="K247" t="s">
        <v>1079</v>
      </c>
      <c r="L247" t="s">
        <v>144</v>
      </c>
    </row>
    <row r="248" spans="1:12" x14ac:dyDescent="0.25">
      <c r="A248" t="s">
        <v>649</v>
      </c>
      <c r="B248" t="s">
        <v>650</v>
      </c>
      <c r="C248">
        <v>51</v>
      </c>
      <c r="D248" t="s">
        <v>102</v>
      </c>
      <c r="G248" t="s">
        <v>102</v>
      </c>
      <c r="H248">
        <v>51</v>
      </c>
      <c r="I248">
        <v>200</v>
      </c>
      <c r="J248" t="s">
        <v>10</v>
      </c>
      <c r="K248" t="s">
        <v>630</v>
      </c>
      <c r="L248" t="s">
        <v>498</v>
      </c>
    </row>
    <row r="249" spans="1:12" x14ac:dyDescent="0.25">
      <c r="A249" t="s">
        <v>651</v>
      </c>
      <c r="B249" t="s">
        <v>652</v>
      </c>
      <c r="C249">
        <v>51</v>
      </c>
      <c r="D249" t="s">
        <v>102</v>
      </c>
      <c r="G249" t="s">
        <v>102</v>
      </c>
      <c r="H249">
        <v>51</v>
      </c>
      <c r="I249">
        <v>200</v>
      </c>
      <c r="J249" t="s">
        <v>10</v>
      </c>
      <c r="K249" t="s">
        <v>631</v>
      </c>
      <c r="L249" t="s">
        <v>322</v>
      </c>
    </row>
    <row r="250" spans="1:12" x14ac:dyDescent="0.25">
      <c r="A250" t="s">
        <v>653</v>
      </c>
      <c r="B250" t="s">
        <v>654</v>
      </c>
      <c r="C250">
        <v>51</v>
      </c>
      <c r="D250" t="s">
        <v>102</v>
      </c>
      <c r="G250" t="s">
        <v>102</v>
      </c>
      <c r="H250">
        <v>51</v>
      </c>
      <c r="I250">
        <v>200</v>
      </c>
      <c r="J250" t="s">
        <v>10</v>
      </c>
      <c r="K250" t="s">
        <v>632</v>
      </c>
      <c r="L250" t="s">
        <v>1080</v>
      </c>
    </row>
    <row r="251" spans="1:12" x14ac:dyDescent="0.25">
      <c r="A251" t="s">
        <v>655</v>
      </c>
      <c r="B251" t="s">
        <v>656</v>
      </c>
      <c r="C251">
        <v>51</v>
      </c>
      <c r="D251" t="s">
        <v>102</v>
      </c>
      <c r="G251" t="s">
        <v>102</v>
      </c>
      <c r="H251">
        <v>51</v>
      </c>
      <c r="I251">
        <v>200</v>
      </c>
      <c r="J251" t="s">
        <v>10</v>
      </c>
      <c r="K251" t="s">
        <v>634</v>
      </c>
      <c r="L251" t="s">
        <v>1069</v>
      </c>
    </row>
    <row r="252" spans="1:12" x14ac:dyDescent="0.25">
      <c r="A252" t="s">
        <v>657</v>
      </c>
      <c r="B252" t="s">
        <v>658</v>
      </c>
      <c r="C252">
        <v>51</v>
      </c>
      <c r="D252" t="s">
        <v>102</v>
      </c>
      <c r="G252" t="s">
        <v>102</v>
      </c>
      <c r="H252">
        <v>51</v>
      </c>
      <c r="I252">
        <v>200</v>
      </c>
      <c r="J252" t="s">
        <v>10</v>
      </c>
      <c r="K252" t="s">
        <v>1081</v>
      </c>
      <c r="L252" t="s">
        <v>1063</v>
      </c>
    </row>
    <row r="253" spans="1:12" x14ac:dyDescent="0.25">
      <c r="A253" t="s">
        <v>659</v>
      </c>
      <c r="B253" t="s">
        <v>537</v>
      </c>
      <c r="C253">
        <v>51</v>
      </c>
      <c r="D253" t="s">
        <v>102</v>
      </c>
      <c r="G253" t="s">
        <v>102</v>
      </c>
      <c r="H253">
        <v>51</v>
      </c>
      <c r="I253">
        <v>200</v>
      </c>
      <c r="J253" t="s">
        <v>10</v>
      </c>
      <c r="K253" t="s">
        <v>635</v>
      </c>
      <c r="L253" t="s">
        <v>1082</v>
      </c>
    </row>
    <row r="254" spans="1:12" x14ac:dyDescent="0.25">
      <c r="A254" t="s">
        <v>660</v>
      </c>
      <c r="B254" t="s">
        <v>661</v>
      </c>
      <c r="C254">
        <v>51</v>
      </c>
      <c r="D254" t="s">
        <v>102</v>
      </c>
      <c r="G254" t="s">
        <v>102</v>
      </c>
      <c r="H254">
        <v>51</v>
      </c>
      <c r="I254">
        <v>200</v>
      </c>
      <c r="J254" t="s">
        <v>10</v>
      </c>
      <c r="K254" t="s">
        <v>637</v>
      </c>
      <c r="L254" t="s">
        <v>162</v>
      </c>
    </row>
    <row r="255" spans="1:12" x14ac:dyDescent="0.25">
      <c r="A255" t="s">
        <v>662</v>
      </c>
      <c r="B255" t="s">
        <v>663</v>
      </c>
      <c r="C255">
        <v>51</v>
      </c>
      <c r="D255" t="s">
        <v>102</v>
      </c>
      <c r="G255" t="s">
        <v>102</v>
      </c>
      <c r="H255">
        <v>51</v>
      </c>
      <c r="I255">
        <v>200</v>
      </c>
      <c r="J255" t="s">
        <v>10</v>
      </c>
      <c r="K255" t="s">
        <v>638</v>
      </c>
      <c r="L255" t="s">
        <v>348</v>
      </c>
    </row>
    <row r="256" spans="1:12" x14ac:dyDescent="0.25">
      <c r="A256" t="s">
        <v>664</v>
      </c>
      <c r="B256" t="s">
        <v>665</v>
      </c>
      <c r="C256">
        <v>51</v>
      </c>
      <c r="D256" t="s">
        <v>102</v>
      </c>
      <c r="G256" t="s">
        <v>102</v>
      </c>
      <c r="H256">
        <v>51</v>
      </c>
      <c r="I256">
        <v>200</v>
      </c>
      <c r="J256" t="s">
        <v>10</v>
      </c>
      <c r="K256" t="s">
        <v>639</v>
      </c>
      <c r="L256" t="s">
        <v>130</v>
      </c>
    </row>
    <row r="257" spans="1:12" x14ac:dyDescent="0.25">
      <c r="A257" t="s">
        <v>666</v>
      </c>
      <c r="B257" t="s">
        <v>667</v>
      </c>
      <c r="C257">
        <v>51</v>
      </c>
      <c r="D257" t="s">
        <v>102</v>
      </c>
      <c r="G257" t="s">
        <v>102</v>
      </c>
      <c r="H257">
        <v>51</v>
      </c>
      <c r="I257">
        <v>200</v>
      </c>
      <c r="J257" t="s">
        <v>10</v>
      </c>
      <c r="K257" t="s">
        <v>640</v>
      </c>
      <c r="L257" t="s">
        <v>132</v>
      </c>
    </row>
    <row r="258" spans="1:12" x14ac:dyDescent="0.25">
      <c r="A258" t="s">
        <v>668</v>
      </c>
      <c r="B258" t="s">
        <v>327</v>
      </c>
      <c r="C258">
        <v>51</v>
      </c>
      <c r="D258" t="s">
        <v>102</v>
      </c>
      <c r="G258" t="s">
        <v>102</v>
      </c>
      <c r="H258">
        <v>51</v>
      </c>
      <c r="I258">
        <v>200</v>
      </c>
      <c r="J258" t="s">
        <v>10</v>
      </c>
      <c r="K258" t="s">
        <v>641</v>
      </c>
      <c r="L258" t="s">
        <v>1083</v>
      </c>
    </row>
    <row r="259" spans="1:12" x14ac:dyDescent="0.25">
      <c r="A259" t="s">
        <v>669</v>
      </c>
      <c r="B259" t="s">
        <v>43</v>
      </c>
      <c r="C259">
        <v>51</v>
      </c>
      <c r="D259" t="s">
        <v>102</v>
      </c>
      <c r="G259" t="s">
        <v>102</v>
      </c>
      <c r="H259">
        <v>51</v>
      </c>
      <c r="I259">
        <v>200</v>
      </c>
      <c r="J259" t="s">
        <v>10</v>
      </c>
      <c r="K259" t="s">
        <v>643</v>
      </c>
      <c r="L259" t="s">
        <v>766</v>
      </c>
    </row>
    <row r="260" spans="1:12" x14ac:dyDescent="0.25">
      <c r="A260" t="s">
        <v>670</v>
      </c>
      <c r="B260" t="s">
        <v>671</v>
      </c>
      <c r="C260">
        <v>51</v>
      </c>
      <c r="D260" t="s">
        <v>102</v>
      </c>
      <c r="G260" t="s">
        <v>102</v>
      </c>
      <c r="H260">
        <v>51</v>
      </c>
      <c r="I260">
        <v>200</v>
      </c>
      <c r="J260" t="s">
        <v>10</v>
      </c>
      <c r="K260" t="s">
        <v>645</v>
      </c>
      <c r="L260" t="s">
        <v>646</v>
      </c>
    </row>
    <row r="261" spans="1:12" x14ac:dyDescent="0.25">
      <c r="A261" t="s">
        <v>672</v>
      </c>
      <c r="B261" t="s">
        <v>344</v>
      </c>
      <c r="C261">
        <v>51</v>
      </c>
      <c r="D261" t="s">
        <v>102</v>
      </c>
      <c r="G261" t="s">
        <v>102</v>
      </c>
      <c r="H261">
        <v>51</v>
      </c>
      <c r="I261">
        <v>500</v>
      </c>
      <c r="J261" t="s">
        <v>11</v>
      </c>
      <c r="K261" t="s">
        <v>648</v>
      </c>
      <c r="L261" t="s">
        <v>432</v>
      </c>
    </row>
    <row r="262" spans="1:12" x14ac:dyDescent="0.25">
      <c r="A262" t="s">
        <v>673</v>
      </c>
      <c r="B262" t="s">
        <v>674</v>
      </c>
      <c r="C262">
        <v>51</v>
      </c>
      <c r="D262" t="s">
        <v>102</v>
      </c>
      <c r="G262" t="s">
        <v>102</v>
      </c>
      <c r="H262">
        <v>51</v>
      </c>
      <c r="I262">
        <v>500</v>
      </c>
      <c r="J262" t="s">
        <v>11</v>
      </c>
      <c r="K262" t="s">
        <v>649</v>
      </c>
      <c r="L262" t="s">
        <v>1084</v>
      </c>
    </row>
    <row r="263" spans="1:12" x14ac:dyDescent="0.25">
      <c r="A263" t="s">
        <v>675</v>
      </c>
      <c r="B263" t="s">
        <v>348</v>
      </c>
      <c r="C263">
        <v>51</v>
      </c>
      <c r="D263" t="s">
        <v>102</v>
      </c>
      <c r="G263" t="s">
        <v>102</v>
      </c>
      <c r="H263">
        <v>51</v>
      </c>
      <c r="I263">
        <v>200</v>
      </c>
      <c r="J263" t="s">
        <v>10</v>
      </c>
      <c r="K263" t="s">
        <v>651</v>
      </c>
      <c r="L263" t="s">
        <v>652</v>
      </c>
    </row>
    <row r="264" spans="1:12" x14ac:dyDescent="0.25">
      <c r="A264" t="s">
        <v>676</v>
      </c>
      <c r="B264" t="s">
        <v>164</v>
      </c>
      <c r="C264">
        <v>51</v>
      </c>
      <c r="D264" t="s">
        <v>102</v>
      </c>
      <c r="G264" t="s">
        <v>102</v>
      </c>
      <c r="H264">
        <v>51</v>
      </c>
      <c r="I264">
        <v>200</v>
      </c>
      <c r="J264" t="s">
        <v>10</v>
      </c>
      <c r="K264" t="s">
        <v>653</v>
      </c>
      <c r="L264" t="s">
        <v>654</v>
      </c>
    </row>
    <row r="265" spans="1:12" x14ac:dyDescent="0.25">
      <c r="A265" t="s">
        <v>677</v>
      </c>
      <c r="B265" t="s">
        <v>49</v>
      </c>
      <c r="C265">
        <v>52</v>
      </c>
      <c r="D265" t="s">
        <v>50</v>
      </c>
      <c r="G265" t="s">
        <v>102</v>
      </c>
      <c r="H265">
        <v>51</v>
      </c>
      <c r="I265">
        <v>200</v>
      </c>
      <c r="J265" t="s">
        <v>10</v>
      </c>
      <c r="K265" t="s">
        <v>657</v>
      </c>
      <c r="L265" t="s">
        <v>658</v>
      </c>
    </row>
    <row r="266" spans="1:12" x14ac:dyDescent="0.25">
      <c r="A266" t="s">
        <v>678</v>
      </c>
      <c r="B266" t="s">
        <v>679</v>
      </c>
      <c r="C266">
        <v>52</v>
      </c>
      <c r="D266" t="s">
        <v>50</v>
      </c>
      <c r="G266" t="s">
        <v>102</v>
      </c>
      <c r="H266">
        <v>51</v>
      </c>
      <c r="I266">
        <v>200</v>
      </c>
      <c r="J266" t="s">
        <v>10</v>
      </c>
      <c r="K266" t="s">
        <v>659</v>
      </c>
      <c r="L266" t="s">
        <v>537</v>
      </c>
    </row>
    <row r="267" spans="1:12" x14ac:dyDescent="0.25">
      <c r="A267" t="s">
        <v>680</v>
      </c>
      <c r="B267" t="s">
        <v>681</v>
      </c>
      <c r="C267">
        <v>52</v>
      </c>
      <c r="D267" t="s">
        <v>50</v>
      </c>
      <c r="G267" t="s">
        <v>102</v>
      </c>
      <c r="H267">
        <v>51</v>
      </c>
      <c r="I267">
        <v>600</v>
      </c>
      <c r="J267" t="s">
        <v>13</v>
      </c>
      <c r="K267" t="s">
        <v>662</v>
      </c>
      <c r="L267" t="s">
        <v>663</v>
      </c>
    </row>
    <row r="268" spans="1:12" x14ac:dyDescent="0.25">
      <c r="A268" t="s">
        <v>682</v>
      </c>
      <c r="B268" t="s">
        <v>54</v>
      </c>
      <c r="C268">
        <v>52</v>
      </c>
      <c r="D268" t="s">
        <v>50</v>
      </c>
      <c r="G268" t="s">
        <v>102</v>
      </c>
      <c r="H268">
        <v>51</v>
      </c>
      <c r="I268">
        <v>970</v>
      </c>
      <c r="J268" t="s">
        <v>884</v>
      </c>
      <c r="K268" t="s">
        <v>664</v>
      </c>
      <c r="L268" t="s">
        <v>665</v>
      </c>
    </row>
    <row r="269" spans="1:12" x14ac:dyDescent="0.25">
      <c r="A269" t="s">
        <v>683</v>
      </c>
      <c r="B269" t="s">
        <v>179</v>
      </c>
      <c r="C269">
        <v>52</v>
      </c>
      <c r="D269" t="s">
        <v>50</v>
      </c>
      <c r="G269" t="s">
        <v>102</v>
      </c>
      <c r="H269">
        <v>51</v>
      </c>
      <c r="I269">
        <v>620</v>
      </c>
      <c r="J269" t="s">
        <v>23</v>
      </c>
      <c r="K269" t="s">
        <v>666</v>
      </c>
      <c r="L269" t="s">
        <v>23</v>
      </c>
    </row>
    <row r="270" spans="1:12" x14ac:dyDescent="0.25">
      <c r="A270" t="s">
        <v>684</v>
      </c>
      <c r="B270" t="s">
        <v>531</v>
      </c>
      <c r="C270">
        <v>52</v>
      </c>
      <c r="D270" t="s">
        <v>50</v>
      </c>
      <c r="G270" t="s">
        <v>102</v>
      </c>
      <c r="H270">
        <v>51</v>
      </c>
      <c r="I270">
        <v>200</v>
      </c>
      <c r="J270" t="s">
        <v>10</v>
      </c>
      <c r="K270" t="s">
        <v>668</v>
      </c>
      <c r="L270" t="s">
        <v>1085</v>
      </c>
    </row>
    <row r="271" spans="1:12" x14ac:dyDescent="0.25">
      <c r="A271" t="s">
        <v>685</v>
      </c>
      <c r="B271" t="s">
        <v>186</v>
      </c>
      <c r="C271">
        <v>52</v>
      </c>
      <c r="D271" t="s">
        <v>50</v>
      </c>
      <c r="G271" t="s">
        <v>102</v>
      </c>
      <c r="H271">
        <v>51</v>
      </c>
      <c r="I271">
        <v>700</v>
      </c>
      <c r="J271" t="s">
        <v>12</v>
      </c>
      <c r="K271" t="s">
        <v>669</v>
      </c>
      <c r="L271" t="s">
        <v>43</v>
      </c>
    </row>
    <row r="272" spans="1:12" x14ac:dyDescent="0.25">
      <c r="A272" t="s">
        <v>686</v>
      </c>
      <c r="B272" t="s">
        <v>687</v>
      </c>
      <c r="C272">
        <v>52</v>
      </c>
      <c r="D272" t="s">
        <v>50</v>
      </c>
      <c r="G272" t="s">
        <v>102</v>
      </c>
      <c r="H272">
        <v>51</v>
      </c>
      <c r="I272">
        <v>710</v>
      </c>
      <c r="J272" t="s">
        <v>882</v>
      </c>
      <c r="K272" t="s">
        <v>670</v>
      </c>
      <c r="L272" t="s">
        <v>1086</v>
      </c>
    </row>
    <row r="273" spans="1:12" x14ac:dyDescent="0.25">
      <c r="A273" t="s">
        <v>688</v>
      </c>
      <c r="B273" t="s">
        <v>689</v>
      </c>
      <c r="C273">
        <v>52</v>
      </c>
      <c r="D273" t="s">
        <v>50</v>
      </c>
      <c r="G273" t="s">
        <v>102</v>
      </c>
      <c r="H273">
        <v>51</v>
      </c>
      <c r="I273">
        <v>710</v>
      </c>
      <c r="J273" t="s">
        <v>882</v>
      </c>
      <c r="K273" t="s">
        <v>672</v>
      </c>
      <c r="L273" t="s">
        <v>344</v>
      </c>
    </row>
    <row r="274" spans="1:12" x14ac:dyDescent="0.25">
      <c r="A274" t="s">
        <v>690</v>
      </c>
      <c r="B274" t="s">
        <v>547</v>
      </c>
      <c r="C274">
        <v>52</v>
      </c>
      <c r="D274" t="s">
        <v>50</v>
      </c>
      <c r="G274" t="s">
        <v>102</v>
      </c>
      <c r="H274">
        <v>51</v>
      </c>
      <c r="I274">
        <v>710</v>
      </c>
      <c r="J274" t="s">
        <v>882</v>
      </c>
      <c r="K274" t="s">
        <v>673</v>
      </c>
      <c r="L274" t="s">
        <v>674</v>
      </c>
    </row>
    <row r="275" spans="1:12" x14ac:dyDescent="0.25">
      <c r="A275" t="s">
        <v>691</v>
      </c>
      <c r="B275" t="s">
        <v>198</v>
      </c>
      <c r="C275">
        <v>52</v>
      </c>
      <c r="D275" t="s">
        <v>50</v>
      </c>
      <c r="G275" t="s">
        <v>102</v>
      </c>
      <c r="H275">
        <v>51</v>
      </c>
      <c r="I275">
        <v>720</v>
      </c>
      <c r="J275" t="s">
        <v>883</v>
      </c>
      <c r="K275" t="s">
        <v>676</v>
      </c>
      <c r="L275" t="s">
        <v>164</v>
      </c>
    </row>
    <row r="276" spans="1:12" x14ac:dyDescent="0.25">
      <c r="A276" t="s">
        <v>692</v>
      </c>
      <c r="B276" t="s">
        <v>70</v>
      </c>
      <c r="C276">
        <v>52</v>
      </c>
      <c r="D276" t="s">
        <v>71</v>
      </c>
      <c r="G276" t="s">
        <v>50</v>
      </c>
      <c r="H276">
        <v>52</v>
      </c>
      <c r="I276">
        <v>10000</v>
      </c>
      <c r="J276" t="s">
        <v>1029</v>
      </c>
      <c r="K276" t="s">
        <v>677</v>
      </c>
      <c r="L276" t="s">
        <v>49</v>
      </c>
    </row>
    <row r="277" spans="1:12" x14ac:dyDescent="0.25">
      <c r="A277" t="s">
        <v>693</v>
      </c>
      <c r="B277" t="s">
        <v>205</v>
      </c>
      <c r="C277">
        <v>52</v>
      </c>
      <c r="D277" t="s">
        <v>71</v>
      </c>
      <c r="G277" t="s">
        <v>50</v>
      </c>
      <c r="H277">
        <v>52</v>
      </c>
      <c r="I277">
        <v>16200</v>
      </c>
      <c r="J277" t="s">
        <v>1074</v>
      </c>
      <c r="K277" t="s">
        <v>1087</v>
      </c>
      <c r="L277" t="s">
        <v>1031</v>
      </c>
    </row>
    <row r="278" spans="1:12" x14ac:dyDescent="0.25">
      <c r="A278" t="s">
        <v>694</v>
      </c>
      <c r="B278" t="s">
        <v>73</v>
      </c>
      <c r="C278">
        <v>52</v>
      </c>
      <c r="D278" t="s">
        <v>71</v>
      </c>
      <c r="G278" t="s">
        <v>50</v>
      </c>
      <c r="H278">
        <v>52</v>
      </c>
      <c r="I278">
        <v>10000</v>
      </c>
      <c r="J278" t="s">
        <v>1029</v>
      </c>
      <c r="K278" t="s">
        <v>678</v>
      </c>
      <c r="L278" t="s">
        <v>679</v>
      </c>
    </row>
    <row r="279" spans="1:12" x14ac:dyDescent="0.25">
      <c r="A279" t="s">
        <v>695</v>
      </c>
      <c r="B279" t="s">
        <v>208</v>
      </c>
      <c r="C279">
        <v>52</v>
      </c>
      <c r="D279" t="s">
        <v>71</v>
      </c>
      <c r="G279" t="s">
        <v>50</v>
      </c>
      <c r="H279">
        <v>52</v>
      </c>
      <c r="I279">
        <v>16200</v>
      </c>
      <c r="J279" t="s">
        <v>1074</v>
      </c>
      <c r="K279" t="s">
        <v>680</v>
      </c>
      <c r="L279" t="s">
        <v>681</v>
      </c>
    </row>
    <row r="280" spans="1:12" x14ac:dyDescent="0.25">
      <c r="A280" t="s">
        <v>696</v>
      </c>
      <c r="B280" t="s">
        <v>210</v>
      </c>
      <c r="C280">
        <v>52</v>
      </c>
      <c r="D280" t="s">
        <v>71</v>
      </c>
      <c r="G280" t="s">
        <v>50</v>
      </c>
      <c r="H280">
        <v>52</v>
      </c>
      <c r="I280">
        <v>10000</v>
      </c>
      <c r="J280" t="s">
        <v>1029</v>
      </c>
      <c r="K280" t="s">
        <v>849</v>
      </c>
      <c r="L280" t="s">
        <v>850</v>
      </c>
    </row>
    <row r="281" spans="1:12" x14ac:dyDescent="0.25">
      <c r="A281" t="s">
        <v>697</v>
      </c>
      <c r="B281" t="s">
        <v>215</v>
      </c>
      <c r="C281">
        <v>52</v>
      </c>
      <c r="D281" t="s">
        <v>71</v>
      </c>
      <c r="G281" t="s">
        <v>50</v>
      </c>
      <c r="H281">
        <v>52</v>
      </c>
      <c r="I281">
        <v>11500</v>
      </c>
      <c r="J281" t="s">
        <v>54</v>
      </c>
      <c r="K281" t="s">
        <v>682</v>
      </c>
      <c r="L281" t="s">
        <v>54</v>
      </c>
    </row>
    <row r="282" spans="1:12" x14ac:dyDescent="0.25">
      <c r="A282" t="s">
        <v>698</v>
      </c>
      <c r="B282" t="s">
        <v>217</v>
      </c>
      <c r="C282">
        <v>52</v>
      </c>
      <c r="D282" t="s">
        <v>71</v>
      </c>
      <c r="G282" t="s">
        <v>50</v>
      </c>
      <c r="H282">
        <v>52</v>
      </c>
      <c r="I282">
        <v>11500</v>
      </c>
      <c r="J282" t="s">
        <v>54</v>
      </c>
      <c r="K282" t="s">
        <v>683</v>
      </c>
      <c r="L282" t="s">
        <v>179</v>
      </c>
    </row>
    <row r="283" spans="1:12" x14ac:dyDescent="0.25">
      <c r="A283" t="s">
        <v>699</v>
      </c>
      <c r="B283" t="s">
        <v>219</v>
      </c>
      <c r="C283">
        <v>52</v>
      </c>
      <c r="D283" t="s">
        <v>71</v>
      </c>
      <c r="G283" t="s">
        <v>50</v>
      </c>
      <c r="H283">
        <v>52</v>
      </c>
      <c r="I283">
        <v>16320</v>
      </c>
      <c r="J283" t="s">
        <v>796</v>
      </c>
      <c r="K283" t="s">
        <v>685</v>
      </c>
      <c r="L283" t="s">
        <v>1190</v>
      </c>
    </row>
    <row r="284" spans="1:12" x14ac:dyDescent="0.25">
      <c r="A284" t="s">
        <v>700</v>
      </c>
      <c r="B284" t="s">
        <v>221</v>
      </c>
      <c r="C284">
        <v>52</v>
      </c>
      <c r="D284" t="s">
        <v>71</v>
      </c>
      <c r="G284" t="s">
        <v>50</v>
      </c>
      <c r="H284">
        <v>52</v>
      </c>
      <c r="I284">
        <v>16400</v>
      </c>
      <c r="J284" t="s">
        <v>1088</v>
      </c>
      <c r="K284" t="s">
        <v>686</v>
      </c>
      <c r="L284" t="s">
        <v>687</v>
      </c>
    </row>
    <row r="285" spans="1:12" x14ac:dyDescent="0.25">
      <c r="A285" t="s">
        <v>701</v>
      </c>
      <c r="B285" t="s">
        <v>89</v>
      </c>
      <c r="C285">
        <v>52</v>
      </c>
      <c r="D285" t="s">
        <v>71</v>
      </c>
      <c r="G285" t="s">
        <v>50</v>
      </c>
      <c r="H285">
        <v>52</v>
      </c>
      <c r="I285">
        <v>16500</v>
      </c>
      <c r="J285" t="s">
        <v>1033</v>
      </c>
      <c r="K285" t="s">
        <v>688</v>
      </c>
      <c r="L285" t="s">
        <v>1035</v>
      </c>
    </row>
    <row r="286" spans="1:12" x14ac:dyDescent="0.25">
      <c r="A286" t="s">
        <v>702</v>
      </c>
      <c r="B286" t="s">
        <v>224</v>
      </c>
      <c r="C286">
        <v>52</v>
      </c>
      <c r="D286" t="s">
        <v>71</v>
      </c>
      <c r="G286" t="s">
        <v>50</v>
      </c>
      <c r="H286">
        <v>52</v>
      </c>
      <c r="I286">
        <v>16600</v>
      </c>
      <c r="J286" t="s">
        <v>547</v>
      </c>
      <c r="K286" t="s">
        <v>690</v>
      </c>
      <c r="L286" t="s">
        <v>547</v>
      </c>
    </row>
    <row r="287" spans="1:12" x14ac:dyDescent="0.25">
      <c r="A287" t="s">
        <v>703</v>
      </c>
      <c r="B287" t="s">
        <v>91</v>
      </c>
      <c r="C287">
        <v>52</v>
      </c>
      <c r="D287" t="s">
        <v>71</v>
      </c>
      <c r="G287" t="s">
        <v>50</v>
      </c>
      <c r="H287">
        <v>52</v>
      </c>
      <c r="I287">
        <v>16900</v>
      </c>
      <c r="J287" t="s">
        <v>198</v>
      </c>
      <c r="K287" t="s">
        <v>691</v>
      </c>
      <c r="L287" t="s">
        <v>198</v>
      </c>
    </row>
    <row r="288" spans="1:12" x14ac:dyDescent="0.25">
      <c r="A288" t="s">
        <v>704</v>
      </c>
      <c r="B288" t="s">
        <v>705</v>
      </c>
      <c r="C288">
        <v>52</v>
      </c>
      <c r="D288" t="s">
        <v>71</v>
      </c>
      <c r="G288" t="s">
        <v>50</v>
      </c>
      <c r="H288">
        <v>52</v>
      </c>
      <c r="I288">
        <v>17000</v>
      </c>
      <c r="J288" t="s">
        <v>64</v>
      </c>
      <c r="K288" t="s">
        <v>1191</v>
      </c>
      <c r="L288" t="s">
        <v>64</v>
      </c>
    </row>
    <row r="289" spans="1:12" x14ac:dyDescent="0.25">
      <c r="A289" t="s">
        <v>706</v>
      </c>
      <c r="B289" t="s">
        <v>231</v>
      </c>
      <c r="C289">
        <v>52</v>
      </c>
      <c r="D289" t="s">
        <v>71</v>
      </c>
      <c r="G289" t="s">
        <v>50</v>
      </c>
      <c r="H289">
        <v>52</v>
      </c>
      <c r="I289">
        <v>17010</v>
      </c>
      <c r="J289" t="s">
        <v>66</v>
      </c>
      <c r="K289" t="s">
        <v>851</v>
      </c>
      <c r="L289" t="s">
        <v>201</v>
      </c>
    </row>
    <row r="290" spans="1:12" x14ac:dyDescent="0.25">
      <c r="A290" t="s">
        <v>707</v>
      </c>
      <c r="B290" t="s">
        <v>235</v>
      </c>
      <c r="C290">
        <v>52</v>
      </c>
      <c r="D290" t="s">
        <v>71</v>
      </c>
      <c r="G290" t="s">
        <v>71</v>
      </c>
      <c r="H290">
        <v>52</v>
      </c>
      <c r="I290">
        <v>21100</v>
      </c>
      <c r="J290" t="s">
        <v>70</v>
      </c>
      <c r="K290" t="s">
        <v>692</v>
      </c>
      <c r="L290" t="s">
        <v>70</v>
      </c>
    </row>
    <row r="291" spans="1:12" x14ac:dyDescent="0.25">
      <c r="A291" t="s">
        <v>708</v>
      </c>
      <c r="B291" t="s">
        <v>709</v>
      </c>
      <c r="C291">
        <v>52</v>
      </c>
      <c r="D291" t="s">
        <v>71</v>
      </c>
      <c r="G291" t="s">
        <v>71</v>
      </c>
      <c r="H291">
        <v>52</v>
      </c>
      <c r="I291">
        <v>21100</v>
      </c>
      <c r="J291" t="s">
        <v>70</v>
      </c>
      <c r="K291" t="s">
        <v>693</v>
      </c>
      <c r="L291" t="s">
        <v>1177</v>
      </c>
    </row>
    <row r="292" spans="1:12" x14ac:dyDescent="0.25">
      <c r="A292" t="s">
        <v>710</v>
      </c>
      <c r="B292" t="s">
        <v>237</v>
      </c>
      <c r="C292">
        <v>52</v>
      </c>
      <c r="D292" t="s">
        <v>71</v>
      </c>
      <c r="G292" t="s">
        <v>71</v>
      </c>
      <c r="H292">
        <v>52</v>
      </c>
      <c r="I292">
        <v>21100</v>
      </c>
      <c r="J292" t="s">
        <v>70</v>
      </c>
      <c r="K292" t="s">
        <v>852</v>
      </c>
      <c r="L292" t="s">
        <v>844</v>
      </c>
    </row>
    <row r="293" spans="1:12" x14ac:dyDescent="0.25">
      <c r="A293" t="s">
        <v>711</v>
      </c>
      <c r="B293" t="s">
        <v>235</v>
      </c>
      <c r="C293">
        <v>52</v>
      </c>
      <c r="D293" t="s">
        <v>71</v>
      </c>
      <c r="G293" t="s">
        <v>71</v>
      </c>
      <c r="H293">
        <v>52</v>
      </c>
      <c r="I293">
        <v>22200</v>
      </c>
      <c r="J293" t="s">
        <v>1040</v>
      </c>
      <c r="K293" t="s">
        <v>694</v>
      </c>
      <c r="L293" t="s">
        <v>73</v>
      </c>
    </row>
    <row r="294" spans="1:12" x14ac:dyDescent="0.25">
      <c r="A294" t="s">
        <v>712</v>
      </c>
      <c r="B294" t="s">
        <v>459</v>
      </c>
      <c r="C294">
        <v>52</v>
      </c>
      <c r="D294" t="s">
        <v>71</v>
      </c>
      <c r="G294" t="s">
        <v>71</v>
      </c>
      <c r="H294">
        <v>52</v>
      </c>
      <c r="I294">
        <v>22200</v>
      </c>
      <c r="J294" t="s">
        <v>1040</v>
      </c>
      <c r="K294" t="s">
        <v>695</v>
      </c>
      <c r="L294" t="s">
        <v>208</v>
      </c>
    </row>
    <row r="295" spans="1:12" x14ac:dyDescent="0.25">
      <c r="A295" t="s">
        <v>713</v>
      </c>
      <c r="B295" t="s">
        <v>235</v>
      </c>
      <c r="C295">
        <v>52</v>
      </c>
      <c r="D295" t="s">
        <v>71</v>
      </c>
      <c r="G295" t="s">
        <v>71</v>
      </c>
      <c r="H295">
        <v>52</v>
      </c>
      <c r="I295">
        <v>22200</v>
      </c>
      <c r="J295" t="s">
        <v>1040</v>
      </c>
      <c r="K295" t="s">
        <v>696</v>
      </c>
      <c r="L295" t="s">
        <v>210</v>
      </c>
    </row>
    <row r="296" spans="1:12" x14ac:dyDescent="0.25">
      <c r="A296" t="s">
        <v>714</v>
      </c>
      <c r="B296" t="s">
        <v>575</v>
      </c>
      <c r="C296">
        <v>52</v>
      </c>
      <c r="D296" t="s">
        <v>71</v>
      </c>
      <c r="G296" t="s">
        <v>71</v>
      </c>
      <c r="H296">
        <v>52</v>
      </c>
      <c r="I296">
        <v>28560</v>
      </c>
      <c r="J296" t="s">
        <v>79</v>
      </c>
      <c r="K296" t="s">
        <v>853</v>
      </c>
      <c r="L296" t="s">
        <v>79</v>
      </c>
    </row>
    <row r="297" spans="1:12" x14ac:dyDescent="0.25">
      <c r="A297" t="s">
        <v>715</v>
      </c>
      <c r="B297" t="s">
        <v>235</v>
      </c>
      <c r="C297">
        <v>52</v>
      </c>
      <c r="D297" t="s">
        <v>71</v>
      </c>
      <c r="G297" t="s">
        <v>71</v>
      </c>
      <c r="H297">
        <v>52</v>
      </c>
      <c r="I297">
        <v>22520</v>
      </c>
      <c r="J297" t="s">
        <v>1041</v>
      </c>
      <c r="K297" t="s">
        <v>854</v>
      </c>
      <c r="L297" t="s">
        <v>213</v>
      </c>
    </row>
    <row r="298" spans="1:12" x14ac:dyDescent="0.25">
      <c r="A298" t="s">
        <v>716</v>
      </c>
      <c r="B298" t="s">
        <v>246</v>
      </c>
      <c r="C298">
        <v>52</v>
      </c>
      <c r="D298" t="s">
        <v>94</v>
      </c>
      <c r="G298" t="s">
        <v>71</v>
      </c>
      <c r="H298">
        <v>52</v>
      </c>
      <c r="I298">
        <v>22200</v>
      </c>
      <c r="J298" t="s">
        <v>1040</v>
      </c>
      <c r="K298" t="s">
        <v>697</v>
      </c>
      <c r="L298" t="s">
        <v>215</v>
      </c>
    </row>
    <row r="299" spans="1:12" x14ac:dyDescent="0.25">
      <c r="A299" t="s">
        <v>717</v>
      </c>
      <c r="B299" t="s">
        <v>718</v>
      </c>
      <c r="C299">
        <v>52</v>
      </c>
      <c r="D299" t="s">
        <v>97</v>
      </c>
      <c r="G299" t="s">
        <v>71</v>
      </c>
      <c r="H299">
        <v>52</v>
      </c>
      <c r="I299">
        <v>22200</v>
      </c>
      <c r="J299" t="s">
        <v>1040</v>
      </c>
      <c r="K299" t="s">
        <v>698</v>
      </c>
      <c r="L299" t="s">
        <v>217</v>
      </c>
    </row>
    <row r="300" spans="1:12" x14ac:dyDescent="0.25">
      <c r="A300" t="s">
        <v>719</v>
      </c>
      <c r="B300" t="s">
        <v>720</v>
      </c>
      <c r="C300">
        <v>52</v>
      </c>
      <c r="D300" t="s">
        <v>97</v>
      </c>
      <c r="G300" t="s">
        <v>71</v>
      </c>
      <c r="H300">
        <v>52</v>
      </c>
      <c r="I300">
        <v>22200</v>
      </c>
      <c r="J300" t="s">
        <v>1040</v>
      </c>
      <c r="K300" t="s">
        <v>699</v>
      </c>
      <c r="L300" t="s">
        <v>219</v>
      </c>
    </row>
    <row r="301" spans="1:12" x14ac:dyDescent="0.25">
      <c r="A301" t="s">
        <v>721</v>
      </c>
      <c r="B301" t="s">
        <v>256</v>
      </c>
      <c r="C301">
        <v>52</v>
      </c>
      <c r="D301" t="s">
        <v>97</v>
      </c>
      <c r="G301" t="s">
        <v>71</v>
      </c>
      <c r="H301">
        <v>52</v>
      </c>
      <c r="I301">
        <v>23000</v>
      </c>
      <c r="J301" t="s">
        <v>221</v>
      </c>
      <c r="K301" t="s">
        <v>700</v>
      </c>
      <c r="L301" t="s">
        <v>221</v>
      </c>
    </row>
    <row r="302" spans="1:12" x14ac:dyDescent="0.25">
      <c r="A302" t="s">
        <v>722</v>
      </c>
      <c r="B302" t="s">
        <v>99</v>
      </c>
      <c r="C302">
        <v>52</v>
      </c>
      <c r="D302" t="s">
        <v>97</v>
      </c>
      <c r="G302" t="s">
        <v>71</v>
      </c>
      <c r="H302">
        <v>52</v>
      </c>
      <c r="I302">
        <v>22200</v>
      </c>
      <c r="J302" t="s">
        <v>1040</v>
      </c>
      <c r="K302" t="s">
        <v>701</v>
      </c>
      <c r="L302" t="s">
        <v>89</v>
      </c>
    </row>
    <row r="303" spans="1:12" x14ac:dyDescent="0.25">
      <c r="A303" t="s">
        <v>723</v>
      </c>
      <c r="B303" t="s">
        <v>467</v>
      </c>
      <c r="C303">
        <v>52</v>
      </c>
      <c r="D303" t="s">
        <v>97</v>
      </c>
      <c r="G303" t="s">
        <v>71</v>
      </c>
      <c r="H303">
        <v>52</v>
      </c>
      <c r="I303">
        <v>22250</v>
      </c>
      <c r="J303" t="s">
        <v>1178</v>
      </c>
      <c r="K303" t="s">
        <v>702</v>
      </c>
      <c r="L303" t="s">
        <v>1178</v>
      </c>
    </row>
    <row r="304" spans="1:12" x14ac:dyDescent="0.25">
      <c r="A304" t="s">
        <v>724</v>
      </c>
      <c r="B304" t="s">
        <v>267</v>
      </c>
      <c r="C304">
        <v>52</v>
      </c>
      <c r="D304" t="s">
        <v>97</v>
      </c>
      <c r="G304" t="s">
        <v>71</v>
      </c>
      <c r="H304">
        <v>52</v>
      </c>
      <c r="I304">
        <v>28000</v>
      </c>
      <c r="J304" t="s">
        <v>227</v>
      </c>
      <c r="K304" t="s">
        <v>704</v>
      </c>
      <c r="L304" t="s">
        <v>705</v>
      </c>
    </row>
    <row r="305" spans="1:12" x14ac:dyDescent="0.25">
      <c r="A305" t="s">
        <v>725</v>
      </c>
      <c r="B305" t="s">
        <v>726</v>
      </c>
      <c r="C305">
        <v>52</v>
      </c>
      <c r="D305" t="s">
        <v>102</v>
      </c>
      <c r="G305" t="s">
        <v>71</v>
      </c>
      <c r="H305">
        <v>52</v>
      </c>
      <c r="I305">
        <v>28521</v>
      </c>
      <c r="J305" t="s">
        <v>1045</v>
      </c>
      <c r="K305" t="s">
        <v>707</v>
      </c>
      <c r="L305" t="s">
        <v>1189</v>
      </c>
    </row>
    <row r="306" spans="1:12" x14ac:dyDescent="0.25">
      <c r="A306" t="s">
        <v>727</v>
      </c>
      <c r="B306" t="s">
        <v>106</v>
      </c>
      <c r="C306">
        <v>52</v>
      </c>
      <c r="D306" t="s">
        <v>102</v>
      </c>
      <c r="G306" t="s">
        <v>71</v>
      </c>
      <c r="H306">
        <v>52</v>
      </c>
      <c r="I306">
        <v>28540</v>
      </c>
      <c r="J306" t="s">
        <v>1182</v>
      </c>
      <c r="K306" t="s">
        <v>708</v>
      </c>
      <c r="L306" t="s">
        <v>709</v>
      </c>
    </row>
    <row r="307" spans="1:12" x14ac:dyDescent="0.25">
      <c r="A307" t="s">
        <v>728</v>
      </c>
      <c r="B307" t="s">
        <v>729</v>
      </c>
      <c r="C307">
        <v>52</v>
      </c>
      <c r="D307" t="s">
        <v>102</v>
      </c>
      <c r="G307" t="s">
        <v>71</v>
      </c>
      <c r="H307">
        <v>52</v>
      </c>
      <c r="I307">
        <v>28540</v>
      </c>
      <c r="J307" t="s">
        <v>1182</v>
      </c>
      <c r="K307" t="s">
        <v>855</v>
      </c>
      <c r="L307" t="s">
        <v>856</v>
      </c>
    </row>
    <row r="308" spans="1:12" x14ac:dyDescent="0.25">
      <c r="A308" t="s">
        <v>730</v>
      </c>
      <c r="B308" t="s">
        <v>476</v>
      </c>
      <c r="C308">
        <v>52</v>
      </c>
      <c r="D308" t="s">
        <v>102</v>
      </c>
      <c r="G308" t="s">
        <v>71</v>
      </c>
      <c r="H308">
        <v>52</v>
      </c>
      <c r="I308">
        <v>28520</v>
      </c>
      <c r="J308" t="s">
        <v>1180</v>
      </c>
      <c r="K308" t="s">
        <v>714</v>
      </c>
      <c r="L308" t="s">
        <v>31</v>
      </c>
    </row>
    <row r="309" spans="1:12" x14ac:dyDescent="0.25">
      <c r="A309" t="s">
        <v>731</v>
      </c>
      <c r="B309" t="s">
        <v>478</v>
      </c>
      <c r="C309">
        <v>52</v>
      </c>
      <c r="D309" t="s">
        <v>102</v>
      </c>
      <c r="G309" t="s">
        <v>1049</v>
      </c>
      <c r="H309">
        <v>52</v>
      </c>
      <c r="I309">
        <v>29100</v>
      </c>
      <c r="J309" t="s">
        <v>1050</v>
      </c>
      <c r="K309" t="s">
        <v>716</v>
      </c>
      <c r="L309" t="s">
        <v>246</v>
      </c>
    </row>
    <row r="310" spans="1:12" x14ac:dyDescent="0.25">
      <c r="A310" t="s">
        <v>732</v>
      </c>
      <c r="B310" t="s">
        <v>480</v>
      </c>
      <c r="C310">
        <v>52</v>
      </c>
      <c r="D310" t="s">
        <v>102</v>
      </c>
      <c r="G310" t="s">
        <v>97</v>
      </c>
      <c r="H310">
        <v>52</v>
      </c>
      <c r="I310">
        <v>70</v>
      </c>
      <c r="J310" t="s">
        <v>20</v>
      </c>
      <c r="K310" t="s">
        <v>717</v>
      </c>
      <c r="L310" t="s">
        <v>831</v>
      </c>
    </row>
    <row r="311" spans="1:12" x14ac:dyDescent="0.25">
      <c r="A311" t="s">
        <v>733</v>
      </c>
      <c r="B311" t="s">
        <v>734</v>
      </c>
      <c r="C311">
        <v>52</v>
      </c>
      <c r="D311" t="s">
        <v>102</v>
      </c>
      <c r="G311" t="s">
        <v>97</v>
      </c>
      <c r="H311">
        <v>52</v>
      </c>
      <c r="I311">
        <v>30</v>
      </c>
      <c r="J311" t="s">
        <v>6</v>
      </c>
      <c r="K311" t="s">
        <v>719</v>
      </c>
      <c r="L311" t="s">
        <v>720</v>
      </c>
    </row>
    <row r="312" spans="1:12" x14ac:dyDescent="0.25">
      <c r="A312" t="s">
        <v>735</v>
      </c>
      <c r="B312" t="s">
        <v>104</v>
      </c>
      <c r="C312">
        <v>52</v>
      </c>
      <c r="D312" t="s">
        <v>102</v>
      </c>
      <c r="G312" t="s">
        <v>97</v>
      </c>
      <c r="H312">
        <v>52</v>
      </c>
      <c r="I312">
        <v>960</v>
      </c>
      <c r="J312" t="s">
        <v>19</v>
      </c>
      <c r="K312" t="s">
        <v>721</v>
      </c>
      <c r="L312" t="s">
        <v>256</v>
      </c>
    </row>
    <row r="313" spans="1:12" x14ac:dyDescent="0.25">
      <c r="A313" t="s">
        <v>736</v>
      </c>
      <c r="B313" t="s">
        <v>106</v>
      </c>
      <c r="C313">
        <v>52</v>
      </c>
      <c r="D313" t="s">
        <v>102</v>
      </c>
      <c r="G313" t="s">
        <v>97</v>
      </c>
      <c r="H313">
        <v>52</v>
      </c>
      <c r="I313">
        <v>30</v>
      </c>
      <c r="J313" t="s">
        <v>6</v>
      </c>
      <c r="K313" t="s">
        <v>722</v>
      </c>
      <c r="L313" t="s">
        <v>99</v>
      </c>
    </row>
    <row r="314" spans="1:12" x14ac:dyDescent="0.25">
      <c r="A314" t="s">
        <v>737</v>
      </c>
      <c r="B314" t="s">
        <v>108</v>
      </c>
      <c r="C314">
        <v>52</v>
      </c>
      <c r="D314" t="s">
        <v>102</v>
      </c>
      <c r="G314" t="s">
        <v>97</v>
      </c>
      <c r="H314">
        <v>52</v>
      </c>
      <c r="I314">
        <v>960</v>
      </c>
      <c r="J314" t="s">
        <v>19</v>
      </c>
      <c r="K314" t="s">
        <v>723</v>
      </c>
      <c r="L314" t="s">
        <v>467</v>
      </c>
    </row>
    <row r="315" spans="1:12" x14ac:dyDescent="0.25">
      <c r="A315" t="s">
        <v>738</v>
      </c>
      <c r="B315" t="s">
        <v>110</v>
      </c>
      <c r="C315">
        <v>52</v>
      </c>
      <c r="D315" t="s">
        <v>102</v>
      </c>
      <c r="G315" t="s">
        <v>102</v>
      </c>
      <c r="H315">
        <v>52</v>
      </c>
      <c r="I315">
        <v>100</v>
      </c>
      <c r="J315" t="s">
        <v>9</v>
      </c>
      <c r="K315" t="s">
        <v>733</v>
      </c>
      <c r="L315" t="s">
        <v>1078</v>
      </c>
    </row>
    <row r="316" spans="1:12" x14ac:dyDescent="0.25">
      <c r="A316" t="s">
        <v>739</v>
      </c>
      <c r="B316" t="s">
        <v>112</v>
      </c>
      <c r="C316">
        <v>52</v>
      </c>
      <c r="D316" t="s">
        <v>102</v>
      </c>
      <c r="G316" t="s">
        <v>102</v>
      </c>
      <c r="H316">
        <v>52</v>
      </c>
      <c r="I316">
        <v>100</v>
      </c>
      <c r="J316" t="s">
        <v>9</v>
      </c>
      <c r="K316" t="s">
        <v>735</v>
      </c>
      <c r="L316" t="s">
        <v>104</v>
      </c>
    </row>
    <row r="317" spans="1:12" x14ac:dyDescent="0.25">
      <c r="A317" t="s">
        <v>740</v>
      </c>
      <c r="B317" t="s">
        <v>114</v>
      </c>
      <c r="C317">
        <v>52</v>
      </c>
      <c r="D317" t="s">
        <v>102</v>
      </c>
      <c r="G317" t="s">
        <v>102</v>
      </c>
      <c r="H317">
        <v>52</v>
      </c>
      <c r="I317">
        <v>100</v>
      </c>
      <c r="J317" t="s">
        <v>9</v>
      </c>
      <c r="K317" t="s">
        <v>736</v>
      </c>
      <c r="L317" t="s">
        <v>106</v>
      </c>
    </row>
    <row r="318" spans="1:12" x14ac:dyDescent="0.25">
      <c r="A318" t="s">
        <v>741</v>
      </c>
      <c r="B318" t="s">
        <v>276</v>
      </c>
      <c r="C318">
        <v>52</v>
      </c>
      <c r="D318" t="s">
        <v>102</v>
      </c>
      <c r="G318" t="s">
        <v>102</v>
      </c>
      <c r="H318">
        <v>52</v>
      </c>
      <c r="I318">
        <v>100</v>
      </c>
      <c r="J318" t="s">
        <v>9</v>
      </c>
      <c r="K318" t="s">
        <v>737</v>
      </c>
      <c r="L318" t="s">
        <v>108</v>
      </c>
    </row>
    <row r="319" spans="1:12" x14ac:dyDescent="0.25">
      <c r="A319" t="s">
        <v>742</v>
      </c>
      <c r="B319" t="s">
        <v>278</v>
      </c>
      <c r="C319">
        <v>52</v>
      </c>
      <c r="D319" t="s">
        <v>102</v>
      </c>
      <c r="G319" t="s">
        <v>102</v>
      </c>
      <c r="H319">
        <v>52</v>
      </c>
      <c r="I319">
        <v>100</v>
      </c>
      <c r="J319" t="s">
        <v>9</v>
      </c>
      <c r="K319" t="s">
        <v>738</v>
      </c>
      <c r="L319" t="s">
        <v>110</v>
      </c>
    </row>
    <row r="320" spans="1:12" x14ac:dyDescent="0.25">
      <c r="A320" t="s">
        <v>743</v>
      </c>
      <c r="B320" t="s">
        <v>280</v>
      </c>
      <c r="C320">
        <v>52</v>
      </c>
      <c r="D320" t="s">
        <v>102</v>
      </c>
      <c r="G320" t="s">
        <v>102</v>
      </c>
      <c r="H320">
        <v>52</v>
      </c>
      <c r="I320">
        <v>100</v>
      </c>
      <c r="J320" t="s">
        <v>9</v>
      </c>
      <c r="K320" t="s">
        <v>739</v>
      </c>
      <c r="L320" t="s">
        <v>112</v>
      </c>
    </row>
    <row r="321" spans="1:12" x14ac:dyDescent="0.25">
      <c r="A321" t="s">
        <v>744</v>
      </c>
      <c r="B321" t="s">
        <v>120</v>
      </c>
      <c r="C321">
        <v>52</v>
      </c>
      <c r="D321" t="s">
        <v>102</v>
      </c>
      <c r="G321" t="s">
        <v>102</v>
      </c>
      <c r="H321">
        <v>52</v>
      </c>
      <c r="I321">
        <v>100</v>
      </c>
      <c r="J321" t="s">
        <v>9</v>
      </c>
      <c r="K321" t="s">
        <v>740</v>
      </c>
      <c r="L321" t="s">
        <v>114</v>
      </c>
    </row>
    <row r="322" spans="1:12" x14ac:dyDescent="0.25">
      <c r="A322" t="s">
        <v>745</v>
      </c>
      <c r="B322" t="s">
        <v>124</v>
      </c>
      <c r="C322">
        <v>52</v>
      </c>
      <c r="D322" t="s">
        <v>102</v>
      </c>
      <c r="G322" t="s">
        <v>102</v>
      </c>
      <c r="H322">
        <v>52</v>
      </c>
      <c r="I322">
        <v>100</v>
      </c>
      <c r="J322" t="s">
        <v>9</v>
      </c>
      <c r="K322" t="s">
        <v>741</v>
      </c>
      <c r="L322" t="s">
        <v>276</v>
      </c>
    </row>
    <row r="323" spans="1:12" x14ac:dyDescent="0.25">
      <c r="A323" t="s">
        <v>746</v>
      </c>
      <c r="B323" t="s">
        <v>126</v>
      </c>
      <c r="C323">
        <v>52</v>
      </c>
      <c r="D323" t="s">
        <v>102</v>
      </c>
      <c r="G323" t="s">
        <v>102</v>
      </c>
      <c r="H323">
        <v>52</v>
      </c>
      <c r="I323">
        <v>200</v>
      </c>
      <c r="J323" t="s">
        <v>10</v>
      </c>
      <c r="K323" t="s">
        <v>743</v>
      </c>
      <c r="L323" t="s">
        <v>1054</v>
      </c>
    </row>
    <row r="324" spans="1:12" x14ac:dyDescent="0.25">
      <c r="A324" t="s">
        <v>747</v>
      </c>
      <c r="B324" t="s">
        <v>287</v>
      </c>
      <c r="C324">
        <v>52</v>
      </c>
      <c r="D324" t="s">
        <v>102</v>
      </c>
      <c r="G324" t="s">
        <v>102</v>
      </c>
      <c r="H324">
        <v>52</v>
      </c>
      <c r="I324">
        <v>200</v>
      </c>
      <c r="J324" t="s">
        <v>10</v>
      </c>
      <c r="K324" t="s">
        <v>744</v>
      </c>
      <c r="L324" t="s">
        <v>1055</v>
      </c>
    </row>
    <row r="325" spans="1:12" x14ac:dyDescent="0.25">
      <c r="A325" t="s">
        <v>748</v>
      </c>
      <c r="B325" t="s">
        <v>132</v>
      </c>
      <c r="C325">
        <v>52</v>
      </c>
      <c r="D325" t="s">
        <v>102</v>
      </c>
      <c r="G325" t="s">
        <v>102</v>
      </c>
      <c r="H325">
        <v>52</v>
      </c>
      <c r="I325">
        <v>200</v>
      </c>
      <c r="J325" t="s">
        <v>10</v>
      </c>
      <c r="K325" t="s">
        <v>745</v>
      </c>
      <c r="L325" t="s">
        <v>124</v>
      </c>
    </row>
    <row r="326" spans="1:12" x14ac:dyDescent="0.25">
      <c r="A326" t="s">
        <v>749</v>
      </c>
      <c r="B326" t="s">
        <v>291</v>
      </c>
      <c r="C326">
        <v>52</v>
      </c>
      <c r="D326" t="s">
        <v>102</v>
      </c>
      <c r="G326" t="s">
        <v>102</v>
      </c>
      <c r="H326">
        <v>52</v>
      </c>
      <c r="I326">
        <v>200</v>
      </c>
      <c r="J326" t="s">
        <v>10</v>
      </c>
      <c r="K326" t="s">
        <v>746</v>
      </c>
      <c r="L326" t="s">
        <v>126</v>
      </c>
    </row>
    <row r="327" spans="1:12" x14ac:dyDescent="0.25">
      <c r="A327" t="s">
        <v>750</v>
      </c>
      <c r="B327" t="s">
        <v>295</v>
      </c>
      <c r="C327">
        <v>52</v>
      </c>
      <c r="D327" t="s">
        <v>102</v>
      </c>
      <c r="G327" t="s">
        <v>102</v>
      </c>
      <c r="H327">
        <v>52</v>
      </c>
      <c r="I327">
        <v>200</v>
      </c>
      <c r="J327" t="s">
        <v>10</v>
      </c>
      <c r="K327" t="s">
        <v>747</v>
      </c>
      <c r="L327" t="s">
        <v>287</v>
      </c>
    </row>
    <row r="328" spans="1:12" x14ac:dyDescent="0.25">
      <c r="A328" t="s">
        <v>751</v>
      </c>
      <c r="B328" t="s">
        <v>297</v>
      </c>
      <c r="C328">
        <v>52</v>
      </c>
      <c r="D328" t="s">
        <v>102</v>
      </c>
      <c r="G328" t="s">
        <v>102</v>
      </c>
      <c r="H328">
        <v>52</v>
      </c>
      <c r="I328">
        <v>200</v>
      </c>
      <c r="J328" t="s">
        <v>10</v>
      </c>
      <c r="K328" t="s">
        <v>748</v>
      </c>
      <c r="L328" t="s">
        <v>132</v>
      </c>
    </row>
    <row r="329" spans="1:12" x14ac:dyDescent="0.25">
      <c r="A329" t="s">
        <v>752</v>
      </c>
      <c r="B329" t="s">
        <v>303</v>
      </c>
      <c r="C329">
        <v>52</v>
      </c>
      <c r="D329" t="s">
        <v>102</v>
      </c>
      <c r="G329" t="s">
        <v>102</v>
      </c>
      <c r="H329">
        <v>52</v>
      </c>
      <c r="I329">
        <v>200</v>
      </c>
      <c r="J329" t="s">
        <v>10</v>
      </c>
      <c r="K329" t="s">
        <v>749</v>
      </c>
      <c r="L329" t="s">
        <v>291</v>
      </c>
    </row>
    <row r="330" spans="1:12" x14ac:dyDescent="0.25">
      <c r="A330" t="s">
        <v>753</v>
      </c>
      <c r="B330" t="s">
        <v>754</v>
      </c>
      <c r="C330">
        <v>52</v>
      </c>
      <c r="D330" t="s">
        <v>102</v>
      </c>
      <c r="G330" t="s">
        <v>102</v>
      </c>
      <c r="H330">
        <v>52</v>
      </c>
      <c r="I330">
        <v>200</v>
      </c>
      <c r="J330" t="s">
        <v>10</v>
      </c>
      <c r="K330" t="s">
        <v>751</v>
      </c>
      <c r="L330" t="s">
        <v>297</v>
      </c>
    </row>
    <row r="331" spans="1:12" x14ac:dyDescent="0.25">
      <c r="A331" t="s">
        <v>755</v>
      </c>
      <c r="B331" t="s">
        <v>311</v>
      </c>
      <c r="C331">
        <v>52</v>
      </c>
      <c r="D331" t="s">
        <v>102</v>
      </c>
      <c r="G331" t="s">
        <v>102</v>
      </c>
      <c r="H331">
        <v>52</v>
      </c>
      <c r="I331">
        <v>200</v>
      </c>
      <c r="J331" t="s">
        <v>10</v>
      </c>
      <c r="K331" t="s">
        <v>752</v>
      </c>
      <c r="L331" t="s">
        <v>303</v>
      </c>
    </row>
    <row r="332" spans="1:12" x14ac:dyDescent="0.25">
      <c r="A332" t="s">
        <v>756</v>
      </c>
      <c r="B332" t="s">
        <v>313</v>
      </c>
      <c r="C332">
        <v>52</v>
      </c>
      <c r="D332" t="s">
        <v>102</v>
      </c>
      <c r="G332" t="s">
        <v>102</v>
      </c>
      <c r="H332">
        <v>52</v>
      </c>
      <c r="I332">
        <v>500</v>
      </c>
      <c r="J332" t="s">
        <v>11</v>
      </c>
      <c r="K332" t="s">
        <v>753</v>
      </c>
      <c r="L332" t="s">
        <v>754</v>
      </c>
    </row>
    <row r="333" spans="1:12" x14ac:dyDescent="0.25">
      <c r="A333" t="s">
        <v>757</v>
      </c>
      <c r="B333" t="s">
        <v>498</v>
      </c>
      <c r="C333">
        <v>52</v>
      </c>
      <c r="D333" t="s">
        <v>102</v>
      </c>
      <c r="G333" t="s">
        <v>102</v>
      </c>
      <c r="H333">
        <v>52</v>
      </c>
      <c r="I333">
        <v>500</v>
      </c>
      <c r="J333" t="s">
        <v>11</v>
      </c>
      <c r="K333" t="s">
        <v>755</v>
      </c>
      <c r="L333" t="s">
        <v>311</v>
      </c>
    </row>
    <row r="334" spans="1:12" x14ac:dyDescent="0.25">
      <c r="A334" t="s">
        <v>758</v>
      </c>
      <c r="B334" t="s">
        <v>322</v>
      </c>
      <c r="C334">
        <v>52</v>
      </c>
      <c r="D334" t="s">
        <v>102</v>
      </c>
      <c r="G334" t="s">
        <v>102</v>
      </c>
      <c r="H334">
        <v>52</v>
      </c>
      <c r="I334">
        <v>500</v>
      </c>
      <c r="J334" t="s">
        <v>11</v>
      </c>
      <c r="K334" t="s">
        <v>756</v>
      </c>
      <c r="L334" t="s">
        <v>313</v>
      </c>
    </row>
    <row r="335" spans="1:12" x14ac:dyDescent="0.25">
      <c r="A335" t="s">
        <v>759</v>
      </c>
      <c r="B335" t="s">
        <v>327</v>
      </c>
      <c r="C335">
        <v>52</v>
      </c>
      <c r="D335" t="s">
        <v>102</v>
      </c>
      <c r="G335" t="s">
        <v>102</v>
      </c>
      <c r="H335">
        <v>52</v>
      </c>
      <c r="I335">
        <v>500</v>
      </c>
      <c r="J335" t="s">
        <v>11</v>
      </c>
      <c r="K335" t="s">
        <v>1089</v>
      </c>
      <c r="L335" t="s">
        <v>144</v>
      </c>
    </row>
    <row r="336" spans="1:12" x14ac:dyDescent="0.25">
      <c r="A336" t="s">
        <v>760</v>
      </c>
      <c r="B336" t="s">
        <v>329</v>
      </c>
      <c r="C336">
        <v>52</v>
      </c>
      <c r="D336" t="s">
        <v>102</v>
      </c>
      <c r="G336" t="s">
        <v>102</v>
      </c>
      <c r="H336">
        <v>52</v>
      </c>
      <c r="I336">
        <v>200</v>
      </c>
      <c r="J336" t="s">
        <v>10</v>
      </c>
      <c r="K336" t="s">
        <v>757</v>
      </c>
      <c r="L336" t="s">
        <v>498</v>
      </c>
    </row>
    <row r="337" spans="1:12" x14ac:dyDescent="0.25">
      <c r="A337" t="s">
        <v>761</v>
      </c>
      <c r="B337" t="s">
        <v>636</v>
      </c>
      <c r="C337">
        <v>52</v>
      </c>
      <c r="D337" t="s">
        <v>102</v>
      </c>
      <c r="G337" t="s">
        <v>102</v>
      </c>
      <c r="H337">
        <v>52</v>
      </c>
      <c r="I337">
        <v>200</v>
      </c>
      <c r="J337" t="s">
        <v>10</v>
      </c>
      <c r="K337" t="s">
        <v>758</v>
      </c>
      <c r="L337" t="s">
        <v>322</v>
      </c>
    </row>
    <row r="338" spans="1:12" x14ac:dyDescent="0.25">
      <c r="A338" t="s">
        <v>762</v>
      </c>
      <c r="B338" t="s">
        <v>162</v>
      </c>
      <c r="C338">
        <v>52</v>
      </c>
      <c r="D338" t="s">
        <v>102</v>
      </c>
      <c r="G338" t="s">
        <v>102</v>
      </c>
      <c r="H338">
        <v>52</v>
      </c>
      <c r="I338">
        <v>200</v>
      </c>
      <c r="J338" t="s">
        <v>10</v>
      </c>
      <c r="K338" t="s">
        <v>759</v>
      </c>
      <c r="L338" t="s">
        <v>1080</v>
      </c>
    </row>
    <row r="339" spans="1:12" x14ac:dyDescent="0.25">
      <c r="A339" t="s">
        <v>763</v>
      </c>
      <c r="B339" t="s">
        <v>348</v>
      </c>
      <c r="C339">
        <v>52</v>
      </c>
      <c r="D339" t="s">
        <v>102</v>
      </c>
      <c r="G339" t="s">
        <v>102</v>
      </c>
      <c r="H339">
        <v>52</v>
      </c>
      <c r="I339">
        <v>200</v>
      </c>
      <c r="J339" t="s">
        <v>10</v>
      </c>
      <c r="K339" t="s">
        <v>760</v>
      </c>
      <c r="L339" t="s">
        <v>1069</v>
      </c>
    </row>
    <row r="340" spans="1:12" x14ac:dyDescent="0.25">
      <c r="A340" t="s">
        <v>764</v>
      </c>
      <c r="B340" t="s">
        <v>130</v>
      </c>
      <c r="C340">
        <v>52</v>
      </c>
      <c r="D340" t="s">
        <v>102</v>
      </c>
      <c r="G340" t="s">
        <v>102</v>
      </c>
      <c r="H340">
        <v>52</v>
      </c>
      <c r="I340">
        <v>200</v>
      </c>
      <c r="J340" t="s">
        <v>10</v>
      </c>
      <c r="K340" t="s">
        <v>1090</v>
      </c>
      <c r="L340" t="s">
        <v>1063</v>
      </c>
    </row>
    <row r="341" spans="1:12" x14ac:dyDescent="0.25">
      <c r="A341" t="s">
        <v>765</v>
      </c>
      <c r="B341" t="s">
        <v>766</v>
      </c>
      <c r="C341">
        <v>52</v>
      </c>
      <c r="D341" t="s">
        <v>102</v>
      </c>
      <c r="G341" t="s">
        <v>102</v>
      </c>
      <c r="H341">
        <v>52</v>
      </c>
      <c r="I341">
        <v>200</v>
      </c>
      <c r="J341" t="s">
        <v>10</v>
      </c>
      <c r="K341" t="s">
        <v>761</v>
      </c>
      <c r="L341" t="s">
        <v>1082</v>
      </c>
    </row>
    <row r="342" spans="1:12" x14ac:dyDescent="0.25">
      <c r="A342" t="s">
        <v>767</v>
      </c>
      <c r="B342" t="s">
        <v>768</v>
      </c>
      <c r="C342">
        <v>52</v>
      </c>
      <c r="D342" t="s">
        <v>102</v>
      </c>
      <c r="G342" t="s">
        <v>102</v>
      </c>
      <c r="H342">
        <v>52</v>
      </c>
      <c r="I342">
        <v>200</v>
      </c>
      <c r="J342" t="s">
        <v>10</v>
      </c>
      <c r="K342" t="s">
        <v>762</v>
      </c>
      <c r="L342" t="s">
        <v>162</v>
      </c>
    </row>
    <row r="343" spans="1:12" x14ac:dyDescent="0.25">
      <c r="A343" t="s">
        <v>769</v>
      </c>
      <c r="B343" t="s">
        <v>303</v>
      </c>
      <c r="C343">
        <v>52</v>
      </c>
      <c r="D343" t="s">
        <v>102</v>
      </c>
      <c r="G343" t="s">
        <v>102</v>
      </c>
      <c r="H343">
        <v>52</v>
      </c>
      <c r="I343">
        <v>200</v>
      </c>
      <c r="J343" t="s">
        <v>10</v>
      </c>
      <c r="K343" t="s">
        <v>763</v>
      </c>
      <c r="L343" t="s">
        <v>1091</v>
      </c>
    </row>
    <row r="344" spans="1:12" x14ac:dyDescent="0.25">
      <c r="A344" t="s">
        <v>770</v>
      </c>
      <c r="B344" t="s">
        <v>771</v>
      </c>
      <c r="C344">
        <v>52</v>
      </c>
      <c r="D344" t="s">
        <v>102</v>
      </c>
      <c r="G344" t="s">
        <v>102</v>
      </c>
      <c r="H344">
        <v>52</v>
      </c>
      <c r="I344">
        <v>200</v>
      </c>
      <c r="J344" t="s">
        <v>10</v>
      </c>
      <c r="K344" t="s">
        <v>764</v>
      </c>
      <c r="L344" t="s">
        <v>130</v>
      </c>
    </row>
    <row r="345" spans="1:12" x14ac:dyDescent="0.25">
      <c r="A345" t="s">
        <v>772</v>
      </c>
      <c r="B345" t="s">
        <v>432</v>
      </c>
      <c r="C345">
        <v>52</v>
      </c>
      <c r="D345" t="s">
        <v>102</v>
      </c>
      <c r="G345" t="s">
        <v>102</v>
      </c>
      <c r="H345">
        <v>52</v>
      </c>
      <c r="I345">
        <v>200</v>
      </c>
      <c r="J345" t="s">
        <v>10</v>
      </c>
      <c r="K345" t="s">
        <v>765</v>
      </c>
      <c r="L345" t="s">
        <v>766</v>
      </c>
    </row>
    <row r="346" spans="1:12" x14ac:dyDescent="0.25">
      <c r="A346" t="s">
        <v>773</v>
      </c>
      <c r="B346" t="s">
        <v>774</v>
      </c>
      <c r="C346">
        <v>52</v>
      </c>
      <c r="D346" t="s">
        <v>102</v>
      </c>
      <c r="G346" t="s">
        <v>102</v>
      </c>
      <c r="H346">
        <v>52</v>
      </c>
      <c r="I346">
        <v>200</v>
      </c>
      <c r="J346" t="s">
        <v>10</v>
      </c>
      <c r="K346" t="s">
        <v>767</v>
      </c>
      <c r="L346" t="s">
        <v>768</v>
      </c>
    </row>
    <row r="347" spans="1:12" x14ac:dyDescent="0.25">
      <c r="A347" t="s">
        <v>775</v>
      </c>
      <c r="B347" t="s">
        <v>776</v>
      </c>
      <c r="C347">
        <v>52</v>
      </c>
      <c r="D347" t="s">
        <v>102</v>
      </c>
      <c r="G347" t="s">
        <v>102</v>
      </c>
      <c r="H347">
        <v>52</v>
      </c>
      <c r="I347">
        <v>200</v>
      </c>
      <c r="J347" t="s">
        <v>10</v>
      </c>
      <c r="K347" t="s">
        <v>770</v>
      </c>
      <c r="L347" t="s">
        <v>771</v>
      </c>
    </row>
    <row r="348" spans="1:12" x14ac:dyDescent="0.25">
      <c r="A348" t="s">
        <v>777</v>
      </c>
      <c r="B348" t="s">
        <v>778</v>
      </c>
      <c r="C348">
        <v>52</v>
      </c>
      <c r="D348" t="s">
        <v>102</v>
      </c>
      <c r="G348" t="s">
        <v>102</v>
      </c>
      <c r="H348">
        <v>52</v>
      </c>
      <c r="I348">
        <v>500</v>
      </c>
      <c r="J348" t="s">
        <v>11</v>
      </c>
      <c r="K348" t="s">
        <v>772</v>
      </c>
      <c r="L348" t="s">
        <v>432</v>
      </c>
    </row>
    <row r="349" spans="1:12" x14ac:dyDescent="0.25">
      <c r="A349" t="s">
        <v>779</v>
      </c>
      <c r="B349" t="s">
        <v>780</v>
      </c>
      <c r="C349">
        <v>52</v>
      </c>
      <c r="D349" t="s">
        <v>102</v>
      </c>
      <c r="G349" t="s">
        <v>102</v>
      </c>
      <c r="H349">
        <v>52</v>
      </c>
      <c r="I349">
        <v>200</v>
      </c>
      <c r="J349" t="s">
        <v>10</v>
      </c>
      <c r="K349" t="s">
        <v>773</v>
      </c>
      <c r="L349" t="s">
        <v>774</v>
      </c>
    </row>
    <row r="350" spans="1:12" x14ac:dyDescent="0.25">
      <c r="A350" t="s">
        <v>781</v>
      </c>
      <c r="B350" t="s">
        <v>782</v>
      </c>
      <c r="C350">
        <v>52</v>
      </c>
      <c r="D350" t="s">
        <v>102</v>
      </c>
      <c r="G350" t="s">
        <v>102</v>
      </c>
      <c r="H350">
        <v>52</v>
      </c>
      <c r="I350">
        <v>200</v>
      </c>
      <c r="J350" t="s">
        <v>10</v>
      </c>
      <c r="K350" t="s">
        <v>775</v>
      </c>
      <c r="L350" t="s">
        <v>776</v>
      </c>
    </row>
    <row r="351" spans="1:12" x14ac:dyDescent="0.25">
      <c r="A351" t="s">
        <v>783</v>
      </c>
      <c r="B351" t="s">
        <v>23</v>
      </c>
      <c r="C351">
        <v>52</v>
      </c>
      <c r="D351" t="s">
        <v>102</v>
      </c>
      <c r="G351" t="s">
        <v>102</v>
      </c>
      <c r="H351">
        <v>52</v>
      </c>
      <c r="I351">
        <v>200</v>
      </c>
      <c r="J351" t="s">
        <v>10</v>
      </c>
      <c r="K351" t="s">
        <v>777</v>
      </c>
      <c r="L351" t="s">
        <v>778</v>
      </c>
    </row>
    <row r="352" spans="1:12" x14ac:dyDescent="0.25">
      <c r="A352" t="s">
        <v>784</v>
      </c>
      <c r="B352" t="s">
        <v>158</v>
      </c>
      <c r="C352">
        <v>52</v>
      </c>
      <c r="D352" t="s">
        <v>102</v>
      </c>
      <c r="G352" t="s">
        <v>102</v>
      </c>
      <c r="H352">
        <v>52</v>
      </c>
      <c r="I352">
        <v>600</v>
      </c>
      <c r="J352" t="s">
        <v>13</v>
      </c>
      <c r="K352" t="s">
        <v>779</v>
      </c>
      <c r="L352" t="s">
        <v>315</v>
      </c>
    </row>
    <row r="353" spans="1:12" x14ac:dyDescent="0.25">
      <c r="A353" t="s">
        <v>785</v>
      </c>
      <c r="B353" t="s">
        <v>43</v>
      </c>
      <c r="C353">
        <v>52</v>
      </c>
      <c r="D353" t="s">
        <v>102</v>
      </c>
      <c r="G353" t="s">
        <v>102</v>
      </c>
      <c r="H353">
        <v>52</v>
      </c>
      <c r="I353">
        <v>970</v>
      </c>
      <c r="J353" t="s">
        <v>884</v>
      </c>
      <c r="K353" t="s">
        <v>781</v>
      </c>
      <c r="L353" t="s">
        <v>665</v>
      </c>
    </row>
    <row r="354" spans="1:12" x14ac:dyDescent="0.25">
      <c r="A354" t="s">
        <v>786</v>
      </c>
      <c r="B354" t="s">
        <v>787</v>
      </c>
      <c r="C354">
        <v>52</v>
      </c>
      <c r="D354" t="s">
        <v>102</v>
      </c>
      <c r="G354" t="s">
        <v>102</v>
      </c>
      <c r="H354">
        <v>52</v>
      </c>
      <c r="I354">
        <v>620</v>
      </c>
      <c r="J354" t="s">
        <v>23</v>
      </c>
      <c r="K354" t="s">
        <v>783</v>
      </c>
      <c r="L354" t="s">
        <v>23</v>
      </c>
    </row>
    <row r="355" spans="1:12" x14ac:dyDescent="0.25">
      <c r="A355" t="s">
        <v>788</v>
      </c>
      <c r="B355" t="s">
        <v>344</v>
      </c>
      <c r="C355">
        <v>52</v>
      </c>
      <c r="D355" t="s">
        <v>102</v>
      </c>
      <c r="G355" t="s">
        <v>102</v>
      </c>
      <c r="H355">
        <v>52</v>
      </c>
      <c r="I355">
        <v>700</v>
      </c>
      <c r="J355" t="s">
        <v>12</v>
      </c>
      <c r="K355" t="s">
        <v>785</v>
      </c>
      <c r="L355" t="s">
        <v>43</v>
      </c>
    </row>
    <row r="356" spans="1:12" x14ac:dyDescent="0.25">
      <c r="A356" t="s">
        <v>789</v>
      </c>
      <c r="B356" t="s">
        <v>164</v>
      </c>
      <c r="C356">
        <v>52</v>
      </c>
      <c r="D356" t="s">
        <v>102</v>
      </c>
      <c r="G356" t="s">
        <v>102</v>
      </c>
      <c r="H356">
        <v>52</v>
      </c>
      <c r="I356">
        <v>710</v>
      </c>
      <c r="J356" t="s">
        <v>882</v>
      </c>
      <c r="K356" t="s">
        <v>786</v>
      </c>
      <c r="L356" t="s">
        <v>787</v>
      </c>
    </row>
    <row r="357" spans="1:12" x14ac:dyDescent="0.25">
      <c r="A357" t="s">
        <v>790</v>
      </c>
      <c r="B357" t="s">
        <v>49</v>
      </c>
      <c r="C357">
        <v>53</v>
      </c>
      <c r="D357" t="s">
        <v>50</v>
      </c>
      <c r="G357" t="s">
        <v>102</v>
      </c>
      <c r="H357">
        <v>52</v>
      </c>
      <c r="I357">
        <v>710</v>
      </c>
      <c r="J357" t="s">
        <v>882</v>
      </c>
      <c r="K357" t="s">
        <v>788</v>
      </c>
      <c r="L357" t="s">
        <v>344</v>
      </c>
    </row>
    <row r="358" spans="1:12" x14ac:dyDescent="0.25">
      <c r="A358" t="s">
        <v>791</v>
      </c>
      <c r="B358" t="s">
        <v>792</v>
      </c>
      <c r="C358">
        <v>53</v>
      </c>
      <c r="D358" t="s">
        <v>50</v>
      </c>
      <c r="G358" t="s">
        <v>102</v>
      </c>
      <c r="H358">
        <v>52</v>
      </c>
      <c r="I358">
        <v>720</v>
      </c>
      <c r="J358" t="s">
        <v>883</v>
      </c>
      <c r="K358" t="s">
        <v>789</v>
      </c>
      <c r="L358" t="s">
        <v>164</v>
      </c>
    </row>
    <row r="359" spans="1:12" x14ac:dyDescent="0.25">
      <c r="A359" t="s">
        <v>793</v>
      </c>
      <c r="B359" t="s">
        <v>54</v>
      </c>
      <c r="C359">
        <v>53</v>
      </c>
      <c r="D359" t="s">
        <v>50</v>
      </c>
      <c r="G359" t="s">
        <v>50</v>
      </c>
      <c r="H359">
        <v>53</v>
      </c>
      <c r="I359">
        <v>10000</v>
      </c>
      <c r="J359" t="s">
        <v>1029</v>
      </c>
      <c r="K359" t="s">
        <v>790</v>
      </c>
      <c r="L359" t="s">
        <v>49</v>
      </c>
    </row>
    <row r="360" spans="1:12" x14ac:dyDescent="0.25">
      <c r="A360" t="s">
        <v>794</v>
      </c>
      <c r="B360" t="s">
        <v>531</v>
      </c>
      <c r="C360">
        <v>53</v>
      </c>
      <c r="D360" t="s">
        <v>50</v>
      </c>
      <c r="G360" t="s">
        <v>50</v>
      </c>
      <c r="H360">
        <v>53</v>
      </c>
      <c r="I360">
        <v>16200</v>
      </c>
      <c r="J360" t="s">
        <v>1074</v>
      </c>
      <c r="K360" t="s">
        <v>1092</v>
      </c>
      <c r="L360" t="s">
        <v>1031</v>
      </c>
    </row>
    <row r="361" spans="1:12" x14ac:dyDescent="0.25">
      <c r="A361" t="s">
        <v>795</v>
      </c>
      <c r="B361" t="s">
        <v>796</v>
      </c>
      <c r="C361">
        <v>53</v>
      </c>
      <c r="D361" t="s">
        <v>50</v>
      </c>
      <c r="G361" t="s">
        <v>50</v>
      </c>
      <c r="H361">
        <v>53</v>
      </c>
      <c r="I361">
        <v>10000</v>
      </c>
      <c r="J361" t="s">
        <v>1029</v>
      </c>
      <c r="K361" t="s">
        <v>791</v>
      </c>
      <c r="L361" t="s">
        <v>792</v>
      </c>
    </row>
    <row r="362" spans="1:12" x14ac:dyDescent="0.25">
      <c r="A362" t="s">
        <v>797</v>
      </c>
      <c r="B362" t="s">
        <v>198</v>
      </c>
      <c r="C362">
        <v>53</v>
      </c>
      <c r="D362" t="s">
        <v>50</v>
      </c>
      <c r="G362" t="s">
        <v>50</v>
      </c>
      <c r="H362">
        <v>53</v>
      </c>
      <c r="I362">
        <v>11500</v>
      </c>
      <c r="J362" t="s">
        <v>54</v>
      </c>
      <c r="K362" t="s">
        <v>793</v>
      </c>
      <c r="L362" t="s">
        <v>54</v>
      </c>
    </row>
    <row r="363" spans="1:12" x14ac:dyDescent="0.25">
      <c r="A363" t="s">
        <v>798</v>
      </c>
      <c r="B363" t="s">
        <v>70</v>
      </c>
      <c r="C363">
        <v>53</v>
      </c>
      <c r="D363" t="s">
        <v>71</v>
      </c>
      <c r="G363" t="s">
        <v>50</v>
      </c>
      <c r="H363">
        <v>53</v>
      </c>
      <c r="I363">
        <v>16320</v>
      </c>
      <c r="J363" t="s">
        <v>796</v>
      </c>
      <c r="K363" t="s">
        <v>795</v>
      </c>
      <c r="L363" t="s">
        <v>1093</v>
      </c>
    </row>
    <row r="364" spans="1:12" x14ac:dyDescent="0.25">
      <c r="A364" t="s">
        <v>799</v>
      </c>
      <c r="B364" t="s">
        <v>246</v>
      </c>
      <c r="C364">
        <v>53</v>
      </c>
      <c r="D364" t="s">
        <v>94</v>
      </c>
      <c r="G364" t="s">
        <v>50</v>
      </c>
      <c r="H364">
        <v>53</v>
      </c>
      <c r="I364">
        <v>16900</v>
      </c>
      <c r="J364" t="s">
        <v>198</v>
      </c>
      <c r="K364" t="s">
        <v>797</v>
      </c>
      <c r="L364" t="s">
        <v>198</v>
      </c>
    </row>
    <row r="365" spans="1:12" x14ac:dyDescent="0.25">
      <c r="A365" t="s">
        <v>800</v>
      </c>
      <c r="B365" t="s">
        <v>801</v>
      </c>
      <c r="C365">
        <v>53</v>
      </c>
      <c r="D365" t="s">
        <v>97</v>
      </c>
      <c r="G365" t="s">
        <v>71</v>
      </c>
      <c r="H365">
        <v>53</v>
      </c>
      <c r="I365">
        <v>21100</v>
      </c>
      <c r="J365" t="s">
        <v>70</v>
      </c>
      <c r="K365" t="s">
        <v>798</v>
      </c>
      <c r="L365" t="s">
        <v>70</v>
      </c>
    </row>
    <row r="366" spans="1:12" x14ac:dyDescent="0.25">
      <c r="A366" t="s">
        <v>802</v>
      </c>
      <c r="B366" t="s">
        <v>467</v>
      </c>
      <c r="C366">
        <v>53</v>
      </c>
      <c r="D366" t="s">
        <v>97</v>
      </c>
      <c r="G366" t="s">
        <v>71</v>
      </c>
      <c r="H366">
        <v>53</v>
      </c>
      <c r="I366">
        <v>22200</v>
      </c>
      <c r="J366" t="s">
        <v>1040</v>
      </c>
      <c r="K366" t="s">
        <v>857</v>
      </c>
      <c r="L366" t="s">
        <v>73</v>
      </c>
    </row>
    <row r="367" spans="1:12" x14ac:dyDescent="0.25">
      <c r="A367" t="s">
        <v>803</v>
      </c>
      <c r="B367" t="s">
        <v>267</v>
      </c>
      <c r="C367">
        <v>53</v>
      </c>
      <c r="D367" t="s">
        <v>97</v>
      </c>
      <c r="G367" t="s">
        <v>71</v>
      </c>
      <c r="H367">
        <v>53</v>
      </c>
      <c r="I367">
        <v>22200</v>
      </c>
      <c r="J367" t="s">
        <v>1040</v>
      </c>
      <c r="K367" t="s">
        <v>858</v>
      </c>
      <c r="L367" t="s">
        <v>208</v>
      </c>
    </row>
    <row r="368" spans="1:12" x14ac:dyDescent="0.25">
      <c r="A368" t="s">
        <v>804</v>
      </c>
      <c r="B368" t="s">
        <v>291</v>
      </c>
      <c r="C368">
        <v>53</v>
      </c>
      <c r="D368" t="s">
        <v>102</v>
      </c>
      <c r="G368" t="s">
        <v>71</v>
      </c>
      <c r="H368">
        <v>53</v>
      </c>
      <c r="I368">
        <v>22200</v>
      </c>
      <c r="J368" t="s">
        <v>1040</v>
      </c>
      <c r="K368" t="s">
        <v>859</v>
      </c>
      <c r="L368" t="s">
        <v>210</v>
      </c>
    </row>
    <row r="369" spans="1:12" x14ac:dyDescent="0.25">
      <c r="A369" t="s">
        <v>805</v>
      </c>
      <c r="B369" t="s">
        <v>295</v>
      </c>
      <c r="C369">
        <v>53</v>
      </c>
      <c r="D369" t="s">
        <v>102</v>
      </c>
      <c r="G369" t="s">
        <v>71</v>
      </c>
      <c r="H369">
        <v>53</v>
      </c>
      <c r="I369">
        <v>22200</v>
      </c>
      <c r="J369" t="s">
        <v>1040</v>
      </c>
      <c r="K369" t="s">
        <v>860</v>
      </c>
      <c r="L369" t="s">
        <v>215</v>
      </c>
    </row>
    <row r="370" spans="1:12" x14ac:dyDescent="0.25">
      <c r="A370" t="s">
        <v>806</v>
      </c>
      <c r="B370" t="s">
        <v>432</v>
      </c>
      <c r="C370">
        <v>53</v>
      </c>
      <c r="D370" t="s">
        <v>102</v>
      </c>
      <c r="G370" t="s">
        <v>71</v>
      </c>
      <c r="H370">
        <v>53</v>
      </c>
      <c r="I370">
        <v>22200</v>
      </c>
      <c r="J370" t="s">
        <v>1040</v>
      </c>
      <c r="K370" t="s">
        <v>861</v>
      </c>
      <c r="L370" t="s">
        <v>219</v>
      </c>
    </row>
    <row r="371" spans="1:12" x14ac:dyDescent="0.25">
      <c r="A371" t="s">
        <v>807</v>
      </c>
      <c r="B371" t="s">
        <v>808</v>
      </c>
      <c r="C371">
        <v>53</v>
      </c>
      <c r="D371" t="s">
        <v>102</v>
      </c>
      <c r="G371" t="s">
        <v>1049</v>
      </c>
      <c r="H371">
        <v>53</v>
      </c>
      <c r="I371">
        <v>29100</v>
      </c>
      <c r="J371" t="s">
        <v>1050</v>
      </c>
      <c r="K371" t="s">
        <v>799</v>
      </c>
      <c r="L371" t="s">
        <v>246</v>
      </c>
    </row>
    <row r="372" spans="1:12" x14ac:dyDescent="0.25">
      <c r="A372" t="s">
        <v>809</v>
      </c>
      <c r="B372" t="s">
        <v>315</v>
      </c>
      <c r="C372">
        <v>53</v>
      </c>
      <c r="D372" t="s">
        <v>102</v>
      </c>
      <c r="G372" t="s">
        <v>97</v>
      </c>
      <c r="H372">
        <v>53</v>
      </c>
      <c r="I372">
        <v>30</v>
      </c>
      <c r="J372" t="s">
        <v>6</v>
      </c>
      <c r="K372" t="s">
        <v>800</v>
      </c>
      <c r="L372" t="s">
        <v>801</v>
      </c>
    </row>
    <row r="373" spans="1:12" x14ac:dyDescent="0.25">
      <c r="A373" t="s">
        <v>810</v>
      </c>
      <c r="B373" t="s">
        <v>43</v>
      </c>
      <c r="C373">
        <v>53</v>
      </c>
      <c r="D373" t="s">
        <v>102</v>
      </c>
      <c r="G373" t="s">
        <v>97</v>
      </c>
      <c r="H373">
        <v>53</v>
      </c>
      <c r="I373">
        <v>960</v>
      </c>
      <c r="J373" t="s">
        <v>19</v>
      </c>
      <c r="K373" t="s">
        <v>802</v>
      </c>
      <c r="L373" t="s">
        <v>467</v>
      </c>
    </row>
    <row r="374" spans="1:12" x14ac:dyDescent="0.25">
      <c r="A374" t="s">
        <v>811</v>
      </c>
      <c r="B374" t="s">
        <v>344</v>
      </c>
      <c r="C374">
        <v>53</v>
      </c>
      <c r="D374" t="s">
        <v>102</v>
      </c>
      <c r="G374" t="s">
        <v>102</v>
      </c>
      <c r="H374">
        <v>53</v>
      </c>
      <c r="I374">
        <v>100</v>
      </c>
      <c r="J374" t="s">
        <v>9</v>
      </c>
      <c r="K374" t="s">
        <v>862</v>
      </c>
      <c r="L374" t="s">
        <v>734</v>
      </c>
    </row>
    <row r="375" spans="1:12" x14ac:dyDescent="0.25">
      <c r="A375" t="s">
        <v>812</v>
      </c>
      <c r="B375" t="s">
        <v>164</v>
      </c>
      <c r="C375">
        <v>53</v>
      </c>
      <c r="D375" t="s">
        <v>102</v>
      </c>
      <c r="G375" t="s">
        <v>102</v>
      </c>
      <c r="H375">
        <v>53</v>
      </c>
      <c r="I375">
        <v>100</v>
      </c>
      <c r="J375" t="s">
        <v>9</v>
      </c>
      <c r="K375" t="s">
        <v>863</v>
      </c>
      <c r="L375" t="s">
        <v>104</v>
      </c>
    </row>
    <row r="376" spans="1:12" x14ac:dyDescent="0.25">
      <c r="A376" t="s">
        <v>813</v>
      </c>
      <c r="B376" t="s">
        <v>814</v>
      </c>
      <c r="C376">
        <v>99</v>
      </c>
      <c r="D376" t="s">
        <v>50</v>
      </c>
      <c r="G376" t="s">
        <v>102</v>
      </c>
      <c r="H376">
        <v>53</v>
      </c>
      <c r="I376">
        <v>100</v>
      </c>
      <c r="J376" t="s">
        <v>9</v>
      </c>
      <c r="K376" t="s">
        <v>864</v>
      </c>
      <c r="L376" t="s">
        <v>106</v>
      </c>
    </row>
    <row r="377" spans="1:12" x14ac:dyDescent="0.25">
      <c r="A377" t="s">
        <v>815</v>
      </c>
      <c r="B377" t="s">
        <v>816</v>
      </c>
      <c r="C377">
        <v>99</v>
      </c>
      <c r="D377" t="s">
        <v>50</v>
      </c>
      <c r="G377" t="s">
        <v>102</v>
      </c>
      <c r="H377">
        <v>53</v>
      </c>
      <c r="I377">
        <v>100</v>
      </c>
      <c r="J377" t="s">
        <v>9</v>
      </c>
      <c r="K377" t="s">
        <v>865</v>
      </c>
      <c r="L377" t="s">
        <v>108</v>
      </c>
    </row>
    <row r="378" spans="1:12" x14ac:dyDescent="0.25">
      <c r="A378" t="s">
        <v>817</v>
      </c>
      <c r="B378" t="s">
        <v>818</v>
      </c>
      <c r="C378">
        <v>99</v>
      </c>
      <c r="D378" t="s">
        <v>50</v>
      </c>
      <c r="G378" t="s">
        <v>102</v>
      </c>
      <c r="H378">
        <v>53</v>
      </c>
      <c r="I378">
        <v>100</v>
      </c>
      <c r="J378" t="s">
        <v>9</v>
      </c>
      <c r="K378" t="s">
        <v>866</v>
      </c>
      <c r="L378" t="s">
        <v>110</v>
      </c>
    </row>
    <row r="379" spans="1:12" x14ac:dyDescent="0.25">
      <c r="A379" t="s">
        <v>819</v>
      </c>
      <c r="B379" t="s">
        <v>820</v>
      </c>
      <c r="C379">
        <v>99</v>
      </c>
      <c r="D379" t="s">
        <v>50</v>
      </c>
      <c r="G379" t="s">
        <v>102</v>
      </c>
      <c r="H379">
        <v>53</v>
      </c>
      <c r="I379">
        <v>100</v>
      </c>
      <c r="J379" t="s">
        <v>9</v>
      </c>
      <c r="K379" t="s">
        <v>867</v>
      </c>
      <c r="L379" t="s">
        <v>112</v>
      </c>
    </row>
    <row r="380" spans="1:12" x14ac:dyDescent="0.25">
      <c r="A380" t="s">
        <v>821</v>
      </c>
      <c r="B380" t="s">
        <v>822</v>
      </c>
      <c r="C380">
        <v>99</v>
      </c>
      <c r="D380" t="s">
        <v>50</v>
      </c>
      <c r="G380" t="s">
        <v>102</v>
      </c>
      <c r="H380">
        <v>53</v>
      </c>
      <c r="I380">
        <v>100</v>
      </c>
      <c r="J380" t="s">
        <v>9</v>
      </c>
      <c r="K380" t="s">
        <v>868</v>
      </c>
      <c r="L380" t="s">
        <v>114</v>
      </c>
    </row>
    <row r="381" spans="1:12" x14ac:dyDescent="0.25">
      <c r="A381" t="s">
        <v>823</v>
      </c>
      <c r="B381" t="s">
        <v>70</v>
      </c>
      <c r="C381">
        <v>99</v>
      </c>
      <c r="D381" t="s">
        <v>71</v>
      </c>
      <c r="G381" t="s">
        <v>102</v>
      </c>
      <c r="H381">
        <v>53</v>
      </c>
      <c r="I381">
        <v>200</v>
      </c>
      <c r="J381" t="s">
        <v>10</v>
      </c>
      <c r="K381" t="s">
        <v>804</v>
      </c>
      <c r="L381" t="s">
        <v>291</v>
      </c>
    </row>
    <row r="382" spans="1:12" x14ac:dyDescent="0.25">
      <c r="A382" t="s">
        <v>824</v>
      </c>
      <c r="B382" t="s">
        <v>246</v>
      </c>
      <c r="C382">
        <v>99</v>
      </c>
      <c r="D382" t="s">
        <v>94</v>
      </c>
      <c r="G382" t="s">
        <v>102</v>
      </c>
      <c r="H382">
        <v>53</v>
      </c>
      <c r="I382">
        <v>200</v>
      </c>
      <c r="J382" t="s">
        <v>10</v>
      </c>
      <c r="K382" t="s">
        <v>805</v>
      </c>
      <c r="L382" t="s">
        <v>295</v>
      </c>
    </row>
    <row r="383" spans="1:12" x14ac:dyDescent="0.25">
      <c r="G383" t="s">
        <v>102</v>
      </c>
      <c r="H383">
        <v>53</v>
      </c>
      <c r="I383">
        <v>500</v>
      </c>
      <c r="J383" t="s">
        <v>11</v>
      </c>
      <c r="K383" t="s">
        <v>806</v>
      </c>
      <c r="L383" t="s">
        <v>432</v>
      </c>
    </row>
    <row r="384" spans="1:12" x14ac:dyDescent="0.25">
      <c r="G384" t="s">
        <v>102</v>
      </c>
      <c r="H384">
        <v>53</v>
      </c>
      <c r="I384">
        <v>200</v>
      </c>
      <c r="J384" t="s">
        <v>10</v>
      </c>
      <c r="K384" t="s">
        <v>807</v>
      </c>
      <c r="L384" t="s">
        <v>1094</v>
      </c>
    </row>
    <row r="385" spans="7:12" x14ac:dyDescent="0.25">
      <c r="G385" t="s">
        <v>102</v>
      </c>
      <c r="H385">
        <v>53</v>
      </c>
      <c r="I385">
        <v>600</v>
      </c>
      <c r="J385" t="s">
        <v>13</v>
      </c>
      <c r="K385" t="s">
        <v>809</v>
      </c>
      <c r="L385" t="s">
        <v>315</v>
      </c>
    </row>
    <row r="386" spans="7:12" x14ac:dyDescent="0.25">
      <c r="G386" t="s">
        <v>102</v>
      </c>
      <c r="H386">
        <v>53</v>
      </c>
      <c r="I386">
        <v>700</v>
      </c>
      <c r="J386" t="s">
        <v>12</v>
      </c>
      <c r="K386" t="s">
        <v>810</v>
      </c>
      <c r="L386" t="s">
        <v>43</v>
      </c>
    </row>
    <row r="387" spans="7:12" x14ac:dyDescent="0.25">
      <c r="G387" t="s">
        <v>102</v>
      </c>
      <c r="H387">
        <v>53</v>
      </c>
      <c r="I387">
        <v>710</v>
      </c>
      <c r="J387" t="s">
        <v>882</v>
      </c>
      <c r="K387" t="s">
        <v>811</v>
      </c>
      <c r="L387" t="s">
        <v>344</v>
      </c>
    </row>
    <row r="388" spans="7:12" x14ac:dyDescent="0.25">
      <c r="G388" t="s">
        <v>50</v>
      </c>
      <c r="H388">
        <v>99</v>
      </c>
      <c r="I388">
        <v>10000</v>
      </c>
      <c r="J388" t="s">
        <v>1029</v>
      </c>
      <c r="K388" t="s">
        <v>813</v>
      </c>
      <c r="L388" t="s">
        <v>814</v>
      </c>
    </row>
    <row r="389" spans="7:12" x14ac:dyDescent="0.25">
      <c r="G389" t="s">
        <v>50</v>
      </c>
      <c r="H389">
        <v>99</v>
      </c>
      <c r="I389">
        <v>10000</v>
      </c>
      <c r="J389" t="s">
        <v>1029</v>
      </c>
      <c r="K389" t="s">
        <v>815</v>
      </c>
      <c r="L389" t="s">
        <v>816</v>
      </c>
    </row>
    <row r="390" spans="7:12" x14ac:dyDescent="0.25">
      <c r="G390" t="s">
        <v>50</v>
      </c>
      <c r="H390">
        <v>99</v>
      </c>
      <c r="I390">
        <v>10000</v>
      </c>
      <c r="J390" t="s">
        <v>1029</v>
      </c>
      <c r="K390" t="s">
        <v>817</v>
      </c>
      <c r="L390" t="s">
        <v>818</v>
      </c>
    </row>
    <row r="391" spans="7:12" x14ac:dyDescent="0.25">
      <c r="G391" t="s">
        <v>50</v>
      </c>
      <c r="H391">
        <v>99</v>
      </c>
      <c r="I391">
        <v>10000</v>
      </c>
      <c r="J391" t="s">
        <v>1029</v>
      </c>
      <c r="K391" t="s">
        <v>819</v>
      </c>
      <c r="L391" t="s">
        <v>820</v>
      </c>
    </row>
    <row r="392" spans="7:12" x14ac:dyDescent="0.25">
      <c r="G392" t="s">
        <v>71</v>
      </c>
      <c r="H392">
        <v>99</v>
      </c>
      <c r="I392">
        <v>21100</v>
      </c>
      <c r="J392" t="s">
        <v>70</v>
      </c>
      <c r="K392" t="s">
        <v>823</v>
      </c>
      <c r="L392" t="s">
        <v>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4"/>
  <sheetViews>
    <sheetView workbookViewId="0">
      <pane ySplit="5" topLeftCell="A526" activePane="bottomLeft" state="frozen"/>
      <selection activeCell="E8" sqref="E8"/>
      <selection pane="bottomLeft" activeCell="A6" sqref="A6"/>
    </sheetView>
  </sheetViews>
  <sheetFormatPr defaultRowHeight="15" x14ac:dyDescent="0.25"/>
  <cols>
    <col min="1" max="1" width="9.140625" style="1" bestFit="1" customWidth="1"/>
    <col min="2" max="2" width="28.5703125" style="1" bestFit="1" customWidth="1"/>
    <col min="3" max="3" width="13.28515625" style="10" bestFit="1" customWidth="1"/>
    <col min="4" max="5" width="14.140625" style="10" bestFit="1" customWidth="1"/>
    <col min="6" max="16384" width="9.140625" style="1"/>
  </cols>
  <sheetData>
    <row r="1" spans="1:13" x14ac:dyDescent="0.25">
      <c r="A1" s="1" t="s">
        <v>825</v>
      </c>
      <c r="C1" s="1"/>
      <c r="D1" s="1"/>
      <c r="E1" s="1"/>
    </row>
    <row r="2" spans="1:13" x14ac:dyDescent="0.25">
      <c r="A2" s="1" t="s">
        <v>826</v>
      </c>
      <c r="B2" s="30">
        <v>45930</v>
      </c>
      <c r="C2" s="1">
        <f>MONTH(B2)</f>
        <v>9</v>
      </c>
      <c r="D2" s="1"/>
      <c r="E2" s="1"/>
    </row>
    <row r="3" spans="1:13" x14ac:dyDescent="0.25">
      <c r="C3" s="1"/>
      <c r="D3" s="1"/>
      <c r="E3" s="1"/>
    </row>
    <row r="4" spans="1:13" x14ac:dyDescent="0.25">
      <c r="C4" s="1"/>
      <c r="D4" s="1"/>
      <c r="E4" s="17">
        <f>ROUND(SUM(E6:E700),2)</f>
        <v>0</v>
      </c>
    </row>
    <row r="5" spans="1:13" s="6" customFormat="1" x14ac:dyDescent="0.25">
      <c r="A5" s="6" t="s">
        <v>44</v>
      </c>
      <c r="B5" s="6" t="s">
        <v>45</v>
      </c>
      <c r="C5" s="6" t="s">
        <v>827</v>
      </c>
      <c r="D5" s="6" t="s">
        <v>828</v>
      </c>
      <c r="E5" s="6" t="s">
        <v>829</v>
      </c>
      <c r="J5" s="153"/>
    </row>
    <row r="6" spans="1:13" x14ac:dyDescent="0.25">
      <c r="A6" s="40" t="s">
        <v>48</v>
      </c>
      <c r="B6" s="40" t="s">
        <v>49</v>
      </c>
      <c r="C6" s="25">
        <v>0</v>
      </c>
      <c r="D6" s="25">
        <v>0</v>
      </c>
      <c r="E6" s="25">
        <f t="shared" ref="E6:E69" si="0">SUM(C6:D6)</f>
        <v>0</v>
      </c>
      <c r="F6" s="40"/>
      <c r="G6" s="40"/>
      <c r="H6" s="40"/>
      <c r="I6" s="40"/>
      <c r="J6" s="40"/>
      <c r="K6" s="40"/>
      <c r="L6" s="40"/>
      <c r="M6" s="40"/>
    </row>
    <row r="7" spans="1:13" x14ac:dyDescent="0.25">
      <c r="A7" s="40" t="s">
        <v>51</v>
      </c>
      <c r="B7" s="40" t="s">
        <v>52</v>
      </c>
      <c r="C7" s="25">
        <v>0</v>
      </c>
      <c r="D7" s="25">
        <v>0</v>
      </c>
      <c r="E7" s="25">
        <f t="shared" si="0"/>
        <v>0</v>
      </c>
      <c r="F7" s="40"/>
      <c r="G7" s="40"/>
      <c r="H7" s="40"/>
      <c r="I7" s="40"/>
      <c r="J7" s="40"/>
      <c r="K7" s="40"/>
      <c r="L7" s="40"/>
      <c r="M7" s="40"/>
    </row>
    <row r="8" spans="1:13" x14ac:dyDescent="0.25">
      <c r="A8" s="40" t="s">
        <v>53</v>
      </c>
      <c r="B8" s="40" t="s">
        <v>54</v>
      </c>
      <c r="C8" s="25">
        <v>0</v>
      </c>
      <c r="D8" s="25">
        <v>0</v>
      </c>
      <c r="E8" s="25">
        <f t="shared" si="0"/>
        <v>0</v>
      </c>
      <c r="F8" s="40"/>
      <c r="G8" s="40"/>
      <c r="H8" s="40"/>
      <c r="I8" s="40"/>
      <c r="J8" s="40"/>
      <c r="K8" s="40"/>
      <c r="L8" s="40"/>
      <c r="M8" s="40"/>
    </row>
    <row r="9" spans="1:13" x14ac:dyDescent="0.25">
      <c r="A9" s="40" t="s">
        <v>55</v>
      </c>
      <c r="B9" s="40" t="s">
        <v>56</v>
      </c>
      <c r="C9" s="25">
        <v>0</v>
      </c>
      <c r="D9" s="25">
        <v>0</v>
      </c>
      <c r="E9" s="25">
        <f t="shared" si="0"/>
        <v>0</v>
      </c>
      <c r="F9" s="40"/>
      <c r="G9" s="40"/>
      <c r="H9" s="40"/>
      <c r="I9" s="40"/>
      <c r="J9" s="40"/>
      <c r="K9" s="40"/>
      <c r="L9" s="40"/>
      <c r="M9" s="40"/>
    </row>
    <row r="10" spans="1:13" x14ac:dyDescent="0.25">
      <c r="A10" s="40" t="s">
        <v>57</v>
      </c>
      <c r="B10" s="40" t="s">
        <v>58</v>
      </c>
      <c r="C10" s="25">
        <v>0</v>
      </c>
      <c r="D10" s="25">
        <v>0</v>
      </c>
      <c r="E10" s="25">
        <f t="shared" si="0"/>
        <v>0</v>
      </c>
      <c r="F10" s="40"/>
      <c r="G10" s="40"/>
      <c r="H10" s="40"/>
      <c r="I10" s="40"/>
      <c r="J10" s="40"/>
      <c r="K10" s="40"/>
      <c r="L10" s="40"/>
      <c r="M10" s="40"/>
    </row>
    <row r="11" spans="1:13" x14ac:dyDescent="0.25">
      <c r="A11" s="40" t="s">
        <v>59</v>
      </c>
      <c r="B11" s="40" t="s">
        <v>60</v>
      </c>
      <c r="C11" s="25">
        <v>0</v>
      </c>
      <c r="D11" s="25">
        <v>0</v>
      </c>
      <c r="E11" s="25">
        <f t="shared" si="0"/>
        <v>0</v>
      </c>
      <c r="F11" s="40"/>
      <c r="G11" s="40"/>
      <c r="H11" s="40"/>
      <c r="I11" s="40"/>
      <c r="J11" s="40"/>
      <c r="K11" s="40"/>
      <c r="L11" s="40"/>
      <c r="M11" s="40"/>
    </row>
    <row r="12" spans="1:13" x14ac:dyDescent="0.25">
      <c r="A12" s="40" t="s">
        <v>61</v>
      </c>
      <c r="B12" s="40" t="s">
        <v>62</v>
      </c>
      <c r="C12" s="25">
        <v>0</v>
      </c>
      <c r="D12" s="25">
        <v>0</v>
      </c>
      <c r="E12" s="25">
        <f t="shared" si="0"/>
        <v>0</v>
      </c>
      <c r="F12" s="40"/>
      <c r="G12" s="40"/>
      <c r="H12" s="40"/>
      <c r="I12" s="40"/>
      <c r="J12" s="40"/>
      <c r="K12" s="40"/>
      <c r="L12" s="40"/>
      <c r="M12" s="40"/>
    </row>
    <row r="13" spans="1:13" x14ac:dyDescent="0.25">
      <c r="A13" s="40" t="s">
        <v>63</v>
      </c>
      <c r="B13" s="40" t="s">
        <v>64</v>
      </c>
      <c r="C13" s="25">
        <v>0</v>
      </c>
      <c r="D13" s="25">
        <v>0</v>
      </c>
      <c r="E13" s="25">
        <f t="shared" si="0"/>
        <v>0</v>
      </c>
      <c r="F13" s="40"/>
      <c r="G13" s="40"/>
      <c r="H13" s="40"/>
      <c r="I13" s="40"/>
      <c r="J13" s="40"/>
      <c r="K13" s="40"/>
      <c r="L13" s="40"/>
      <c r="M13" s="40"/>
    </row>
    <row r="14" spans="1:13" x14ac:dyDescent="0.25">
      <c r="A14" s="40" t="s">
        <v>65</v>
      </c>
      <c r="B14" s="40" t="s">
        <v>66</v>
      </c>
      <c r="C14" s="25">
        <v>0</v>
      </c>
      <c r="D14" s="25">
        <v>0</v>
      </c>
      <c r="E14" s="25">
        <f t="shared" si="0"/>
        <v>0</v>
      </c>
      <c r="F14" s="40"/>
      <c r="G14" s="40"/>
      <c r="H14" s="40"/>
      <c r="I14" s="40"/>
      <c r="J14" s="40"/>
      <c r="K14" s="40"/>
      <c r="L14" s="40"/>
      <c r="M14" s="40"/>
    </row>
    <row r="15" spans="1:13" x14ac:dyDescent="0.25">
      <c r="A15" s="40" t="s">
        <v>67</v>
      </c>
      <c r="B15" s="40" t="s">
        <v>68</v>
      </c>
      <c r="C15" s="25">
        <v>0</v>
      </c>
      <c r="D15" s="25">
        <v>0</v>
      </c>
      <c r="E15" s="25">
        <f t="shared" si="0"/>
        <v>0</v>
      </c>
      <c r="F15" s="40"/>
      <c r="G15" s="40"/>
      <c r="H15" s="40"/>
      <c r="I15" s="40"/>
      <c r="J15" s="40"/>
      <c r="K15" s="40"/>
      <c r="L15" s="40"/>
      <c r="M15" s="40"/>
    </row>
    <row r="16" spans="1:13" x14ac:dyDescent="0.25">
      <c r="A16" s="40" t="s">
        <v>69</v>
      </c>
      <c r="B16" s="40" t="s">
        <v>70</v>
      </c>
      <c r="C16" s="25">
        <v>0</v>
      </c>
      <c r="D16" s="25">
        <v>0</v>
      </c>
      <c r="E16" s="25">
        <f t="shared" si="0"/>
        <v>0</v>
      </c>
      <c r="F16" s="40"/>
      <c r="G16" s="40"/>
      <c r="H16" s="40"/>
      <c r="I16" s="40"/>
      <c r="J16" s="40"/>
      <c r="K16" s="40"/>
      <c r="L16" s="40"/>
      <c r="M16" s="40"/>
    </row>
    <row r="17" spans="1:13" x14ac:dyDescent="0.25">
      <c r="A17" s="40" t="s">
        <v>72</v>
      </c>
      <c r="B17" s="40" t="s">
        <v>73</v>
      </c>
      <c r="C17" s="25">
        <v>0</v>
      </c>
      <c r="D17" s="25">
        <v>0</v>
      </c>
      <c r="E17" s="25">
        <f t="shared" si="0"/>
        <v>0</v>
      </c>
      <c r="F17" s="40"/>
      <c r="G17" s="40"/>
      <c r="H17" s="40"/>
      <c r="I17" s="40"/>
      <c r="J17" s="40"/>
      <c r="K17" s="40"/>
      <c r="L17" s="40"/>
      <c r="M17" s="40"/>
    </row>
    <row r="18" spans="1:13" x14ac:dyDescent="0.25">
      <c r="A18" s="40" t="s">
        <v>74</v>
      </c>
      <c r="B18" s="40" t="s">
        <v>75</v>
      </c>
      <c r="C18" s="25">
        <v>0</v>
      </c>
      <c r="D18" s="25">
        <v>0</v>
      </c>
      <c r="E18" s="25">
        <f t="shared" si="0"/>
        <v>0</v>
      </c>
      <c r="F18" s="40"/>
      <c r="G18" s="40"/>
      <c r="H18" s="40"/>
      <c r="I18" s="40"/>
      <c r="J18" s="40"/>
      <c r="K18" s="40"/>
      <c r="L18" s="40"/>
      <c r="M18" s="40"/>
    </row>
    <row r="19" spans="1:13" x14ac:dyDescent="0.25">
      <c r="A19" s="40" t="s">
        <v>76</v>
      </c>
      <c r="B19" s="40" t="s">
        <v>77</v>
      </c>
      <c r="C19" s="25">
        <v>0</v>
      </c>
      <c r="D19" s="25">
        <v>0</v>
      </c>
      <c r="E19" s="25">
        <f t="shared" si="0"/>
        <v>0</v>
      </c>
      <c r="F19" s="40"/>
      <c r="G19" s="40"/>
      <c r="H19" s="40"/>
      <c r="I19" s="40"/>
      <c r="J19" s="40"/>
      <c r="K19" s="40"/>
      <c r="L19" s="40"/>
      <c r="M19" s="40"/>
    </row>
    <row r="20" spans="1:13" x14ac:dyDescent="0.25">
      <c r="A20" s="40" t="s">
        <v>78</v>
      </c>
      <c r="B20" s="40" t="s">
        <v>79</v>
      </c>
      <c r="C20" s="25">
        <v>0</v>
      </c>
      <c r="D20" s="25">
        <v>0</v>
      </c>
      <c r="E20" s="25">
        <f t="shared" si="0"/>
        <v>0</v>
      </c>
      <c r="F20" s="40"/>
      <c r="G20" s="40"/>
      <c r="H20" s="40"/>
      <c r="I20" s="40"/>
      <c r="J20" s="40"/>
      <c r="K20" s="40"/>
      <c r="L20" s="40"/>
      <c r="M20" s="40"/>
    </row>
    <row r="21" spans="1:13" x14ac:dyDescent="0.25">
      <c r="A21" s="40" t="s">
        <v>80</v>
      </c>
      <c r="B21" s="40" t="s">
        <v>81</v>
      </c>
      <c r="C21" s="25">
        <v>0</v>
      </c>
      <c r="D21" s="25">
        <v>0</v>
      </c>
      <c r="E21" s="25">
        <f t="shared" si="0"/>
        <v>0</v>
      </c>
      <c r="F21" s="40"/>
      <c r="G21" s="40"/>
      <c r="H21" s="40"/>
      <c r="I21" s="40"/>
      <c r="J21" s="40"/>
      <c r="K21" s="40"/>
      <c r="L21" s="40"/>
      <c r="M21" s="40"/>
    </row>
    <row r="22" spans="1:13" x14ac:dyDescent="0.25">
      <c r="A22" s="40" t="s">
        <v>82</v>
      </c>
      <c r="B22" s="40" t="s">
        <v>83</v>
      </c>
      <c r="C22" s="25">
        <v>0</v>
      </c>
      <c r="D22" s="25">
        <v>0</v>
      </c>
      <c r="E22" s="25">
        <f t="shared" si="0"/>
        <v>0</v>
      </c>
      <c r="F22" s="40"/>
      <c r="G22" s="40"/>
      <c r="H22" s="40"/>
      <c r="I22" s="40"/>
      <c r="J22" s="40"/>
      <c r="K22" s="40"/>
      <c r="L22" s="40"/>
      <c r="M22" s="40"/>
    </row>
    <row r="23" spans="1:13" x14ac:dyDescent="0.25">
      <c r="A23" s="40" t="s">
        <v>84</v>
      </c>
      <c r="B23" s="40" t="s">
        <v>85</v>
      </c>
      <c r="C23" s="25">
        <v>0</v>
      </c>
      <c r="D23" s="25">
        <v>0</v>
      </c>
      <c r="E23" s="25">
        <f t="shared" si="0"/>
        <v>0</v>
      </c>
      <c r="F23" s="40"/>
      <c r="G23" s="40"/>
      <c r="H23" s="40"/>
      <c r="I23" s="40"/>
      <c r="J23" s="40"/>
      <c r="K23" s="40"/>
      <c r="L23" s="40"/>
      <c r="M23" s="40"/>
    </row>
    <row r="24" spans="1:13" x14ac:dyDescent="0.25">
      <c r="A24" s="40" t="s">
        <v>86</v>
      </c>
      <c r="B24" s="40" t="s">
        <v>87</v>
      </c>
      <c r="C24" s="25">
        <v>0</v>
      </c>
      <c r="D24" s="25">
        <v>0</v>
      </c>
      <c r="E24" s="25">
        <f t="shared" si="0"/>
        <v>0</v>
      </c>
      <c r="F24" s="40"/>
      <c r="G24" s="40"/>
      <c r="H24" s="40"/>
      <c r="I24" s="40"/>
      <c r="J24" s="40"/>
      <c r="K24" s="40"/>
      <c r="L24" s="40"/>
      <c r="M24" s="40"/>
    </row>
    <row r="25" spans="1:13" x14ac:dyDescent="0.25">
      <c r="A25" s="40" t="s">
        <v>88</v>
      </c>
      <c r="B25" s="40" t="s">
        <v>89</v>
      </c>
      <c r="C25" s="25">
        <v>0</v>
      </c>
      <c r="D25" s="25">
        <v>0</v>
      </c>
      <c r="E25" s="25">
        <f t="shared" si="0"/>
        <v>0</v>
      </c>
      <c r="F25" s="40"/>
      <c r="G25" s="40"/>
      <c r="H25" s="40"/>
      <c r="I25" s="40"/>
      <c r="J25" s="40"/>
      <c r="K25" s="40"/>
      <c r="L25" s="40"/>
      <c r="M25" s="40"/>
    </row>
    <row r="26" spans="1:13" x14ac:dyDescent="0.25">
      <c r="A26" s="40" t="s">
        <v>90</v>
      </c>
      <c r="B26" s="40" t="s">
        <v>91</v>
      </c>
      <c r="C26" s="25">
        <v>0</v>
      </c>
      <c r="D26" s="25">
        <v>0</v>
      </c>
      <c r="E26" s="25">
        <f t="shared" si="0"/>
        <v>0</v>
      </c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40" t="s">
        <v>92</v>
      </c>
      <c r="B27" s="40" t="s">
        <v>93</v>
      </c>
      <c r="C27" s="25">
        <v>0</v>
      </c>
      <c r="D27" s="25">
        <v>0</v>
      </c>
      <c r="E27" s="25">
        <f t="shared" si="0"/>
        <v>0</v>
      </c>
      <c r="F27" s="40"/>
      <c r="G27" s="40"/>
      <c r="H27" s="40"/>
      <c r="I27" s="40"/>
      <c r="J27" s="40"/>
      <c r="K27" s="40"/>
      <c r="L27" s="40"/>
      <c r="M27" s="40"/>
    </row>
    <row r="28" spans="1:13" x14ac:dyDescent="0.25">
      <c r="A28" s="40" t="s">
        <v>95</v>
      </c>
      <c r="B28" s="40" t="s">
        <v>96</v>
      </c>
      <c r="C28" s="25">
        <v>0</v>
      </c>
      <c r="D28" s="25">
        <v>0</v>
      </c>
      <c r="E28" s="25">
        <f t="shared" si="0"/>
        <v>0</v>
      </c>
      <c r="F28" s="40"/>
      <c r="G28" s="40"/>
      <c r="H28" s="40"/>
      <c r="I28" s="40"/>
      <c r="J28" s="40"/>
      <c r="K28" s="40"/>
      <c r="L28" s="40"/>
      <c r="M28" s="40"/>
    </row>
    <row r="29" spans="1:13" x14ac:dyDescent="0.25">
      <c r="A29" s="40" t="s">
        <v>98</v>
      </c>
      <c r="B29" s="40" t="s">
        <v>99</v>
      </c>
      <c r="C29" s="25">
        <v>0</v>
      </c>
      <c r="D29" s="25">
        <v>0</v>
      </c>
      <c r="E29" s="25">
        <f t="shared" si="0"/>
        <v>0</v>
      </c>
      <c r="F29" s="40"/>
      <c r="G29" s="40"/>
      <c r="H29" s="40"/>
      <c r="I29" s="40"/>
      <c r="J29" s="40"/>
      <c r="K29" s="40"/>
      <c r="L29" s="40"/>
      <c r="M29" s="40"/>
    </row>
    <row r="30" spans="1:13" x14ac:dyDescent="0.25">
      <c r="A30" s="40" t="s">
        <v>100</v>
      </c>
      <c r="B30" s="40" t="s">
        <v>101</v>
      </c>
      <c r="C30" s="25">
        <v>0</v>
      </c>
      <c r="D30" s="25">
        <v>0</v>
      </c>
      <c r="E30" s="25">
        <f t="shared" si="0"/>
        <v>0</v>
      </c>
      <c r="F30" s="40"/>
      <c r="G30" s="40"/>
      <c r="H30" s="40"/>
      <c r="I30" s="40"/>
      <c r="J30" s="40"/>
      <c r="K30" s="40"/>
      <c r="L30" s="40"/>
      <c r="M30" s="40"/>
    </row>
    <row r="31" spans="1:13" x14ac:dyDescent="0.25">
      <c r="A31" s="40" t="s">
        <v>103</v>
      </c>
      <c r="B31" s="40" t="s">
        <v>104</v>
      </c>
      <c r="C31" s="25">
        <v>0</v>
      </c>
      <c r="D31" s="25">
        <v>0</v>
      </c>
      <c r="E31" s="25">
        <f t="shared" si="0"/>
        <v>0</v>
      </c>
      <c r="F31" s="40"/>
      <c r="G31" s="40"/>
      <c r="H31" s="40"/>
      <c r="I31" s="40"/>
      <c r="J31" s="40"/>
      <c r="K31" s="40"/>
      <c r="L31" s="40"/>
      <c r="M31" s="40"/>
    </row>
    <row r="32" spans="1:13" x14ac:dyDescent="0.25">
      <c r="A32" s="40" t="s">
        <v>105</v>
      </c>
      <c r="B32" s="40" t="s">
        <v>106</v>
      </c>
      <c r="C32" s="25">
        <v>0</v>
      </c>
      <c r="D32" s="25">
        <v>0</v>
      </c>
      <c r="E32" s="25">
        <f t="shared" si="0"/>
        <v>0</v>
      </c>
      <c r="F32" s="40"/>
      <c r="G32" s="40"/>
      <c r="H32" s="40"/>
      <c r="I32" s="40"/>
      <c r="J32" s="40"/>
      <c r="K32" s="40"/>
      <c r="L32" s="40"/>
      <c r="M32" s="40"/>
    </row>
    <row r="33" spans="1:13" x14ac:dyDescent="0.25">
      <c r="A33" s="40" t="s">
        <v>107</v>
      </c>
      <c r="B33" s="40" t="s">
        <v>108</v>
      </c>
      <c r="C33" s="25">
        <v>0</v>
      </c>
      <c r="D33" s="25">
        <v>0</v>
      </c>
      <c r="E33" s="25">
        <f t="shared" si="0"/>
        <v>0</v>
      </c>
      <c r="F33" s="40"/>
      <c r="G33" s="40"/>
      <c r="H33" s="40"/>
      <c r="I33" s="40"/>
      <c r="J33" s="40"/>
      <c r="K33" s="40"/>
      <c r="L33" s="40"/>
      <c r="M33" s="40"/>
    </row>
    <row r="34" spans="1:13" x14ac:dyDescent="0.25">
      <c r="A34" s="40" t="s">
        <v>109</v>
      </c>
      <c r="B34" s="40" t="s">
        <v>110</v>
      </c>
      <c r="C34" s="25">
        <v>0</v>
      </c>
      <c r="D34" s="25">
        <v>0</v>
      </c>
      <c r="E34" s="25">
        <f t="shared" si="0"/>
        <v>0</v>
      </c>
      <c r="F34" s="40"/>
      <c r="G34" s="40"/>
      <c r="H34" s="40"/>
      <c r="I34" s="40"/>
      <c r="J34" s="40"/>
      <c r="K34" s="40"/>
      <c r="L34" s="40"/>
      <c r="M34" s="40"/>
    </row>
    <row r="35" spans="1:13" x14ac:dyDescent="0.25">
      <c r="A35" s="40" t="s">
        <v>111</v>
      </c>
      <c r="B35" s="40" t="s">
        <v>112</v>
      </c>
      <c r="C35" s="25">
        <v>0</v>
      </c>
      <c r="D35" s="25">
        <v>0</v>
      </c>
      <c r="E35" s="25">
        <f t="shared" si="0"/>
        <v>0</v>
      </c>
      <c r="F35" s="40"/>
      <c r="G35" s="40"/>
      <c r="H35" s="40"/>
      <c r="I35" s="40"/>
      <c r="J35" s="40"/>
      <c r="K35" s="40"/>
      <c r="L35" s="40"/>
      <c r="M35" s="40"/>
    </row>
    <row r="36" spans="1:13" x14ac:dyDescent="0.25">
      <c r="A36" s="40" t="s">
        <v>113</v>
      </c>
      <c r="B36" s="40" t="s">
        <v>114</v>
      </c>
      <c r="C36" s="25">
        <v>0</v>
      </c>
      <c r="D36" s="25">
        <v>0</v>
      </c>
      <c r="E36" s="25">
        <f t="shared" si="0"/>
        <v>0</v>
      </c>
      <c r="F36" s="40"/>
      <c r="G36" s="40"/>
      <c r="H36" s="40"/>
      <c r="I36" s="40"/>
      <c r="J36" s="40"/>
      <c r="K36" s="40"/>
      <c r="L36" s="40"/>
      <c r="M36" s="40"/>
    </row>
    <row r="37" spans="1:13" x14ac:dyDescent="0.25">
      <c r="A37" s="40" t="s">
        <v>115</v>
      </c>
      <c r="B37" s="40" t="s">
        <v>116</v>
      </c>
      <c r="C37" s="25">
        <v>0</v>
      </c>
      <c r="D37" s="25">
        <v>0</v>
      </c>
      <c r="E37" s="25">
        <f t="shared" si="0"/>
        <v>0</v>
      </c>
      <c r="F37" s="40"/>
      <c r="G37" s="40"/>
      <c r="H37" s="40"/>
      <c r="I37" s="40"/>
      <c r="J37" s="40"/>
      <c r="K37" s="40"/>
      <c r="L37" s="40"/>
      <c r="M37" s="40"/>
    </row>
    <row r="38" spans="1:13" x14ac:dyDescent="0.25">
      <c r="A38" s="40" t="s">
        <v>117</v>
      </c>
      <c r="B38" s="40" t="s">
        <v>118</v>
      </c>
      <c r="C38" s="25">
        <v>0</v>
      </c>
      <c r="D38" s="25">
        <v>0</v>
      </c>
      <c r="E38" s="25">
        <f t="shared" si="0"/>
        <v>0</v>
      </c>
      <c r="F38" s="40"/>
      <c r="G38" s="40"/>
      <c r="H38" s="40"/>
      <c r="I38" s="40"/>
      <c r="J38" s="40"/>
      <c r="K38" s="40"/>
      <c r="L38" s="40"/>
      <c r="M38" s="40"/>
    </row>
    <row r="39" spans="1:13" x14ac:dyDescent="0.25">
      <c r="A39" s="40" t="s">
        <v>119</v>
      </c>
      <c r="B39" s="40" t="s">
        <v>120</v>
      </c>
      <c r="C39" s="25">
        <v>0</v>
      </c>
      <c r="D39" s="25">
        <v>0</v>
      </c>
      <c r="E39" s="25">
        <f t="shared" si="0"/>
        <v>0</v>
      </c>
      <c r="F39" s="40"/>
      <c r="G39" s="40"/>
      <c r="H39" s="40"/>
      <c r="I39" s="40"/>
      <c r="J39" s="40"/>
      <c r="K39" s="40"/>
      <c r="L39" s="40"/>
      <c r="M39" s="40"/>
    </row>
    <row r="40" spans="1:13" x14ac:dyDescent="0.25">
      <c r="A40" s="40" t="s">
        <v>121</v>
      </c>
      <c r="B40" s="40" t="s">
        <v>122</v>
      </c>
      <c r="C40" s="25">
        <v>0</v>
      </c>
      <c r="D40" s="25">
        <v>0</v>
      </c>
      <c r="E40" s="25">
        <f t="shared" si="0"/>
        <v>0</v>
      </c>
      <c r="F40" s="40"/>
      <c r="G40" s="40"/>
      <c r="H40" s="40"/>
      <c r="I40" s="40"/>
      <c r="J40" s="40"/>
      <c r="K40" s="40"/>
      <c r="L40" s="40"/>
      <c r="M40" s="40"/>
    </row>
    <row r="41" spans="1:13" x14ac:dyDescent="0.25">
      <c r="A41" s="40" t="s">
        <v>123</v>
      </c>
      <c r="B41" s="40" t="s">
        <v>124</v>
      </c>
      <c r="C41" s="25">
        <v>0</v>
      </c>
      <c r="D41" s="25">
        <v>0</v>
      </c>
      <c r="E41" s="25">
        <f t="shared" si="0"/>
        <v>0</v>
      </c>
      <c r="F41" s="40"/>
      <c r="G41" s="40"/>
      <c r="H41" s="40"/>
      <c r="I41" s="40"/>
      <c r="J41" s="40"/>
      <c r="K41" s="40"/>
      <c r="L41" s="40"/>
      <c r="M41" s="40"/>
    </row>
    <row r="42" spans="1:13" x14ac:dyDescent="0.25">
      <c r="A42" s="40" t="s">
        <v>125</v>
      </c>
      <c r="B42" s="40" t="s">
        <v>126</v>
      </c>
      <c r="C42" s="25">
        <v>0</v>
      </c>
      <c r="D42" s="25">
        <v>0</v>
      </c>
      <c r="E42" s="25">
        <f t="shared" si="0"/>
        <v>0</v>
      </c>
      <c r="F42" s="40"/>
      <c r="G42" s="40"/>
      <c r="H42" s="40"/>
      <c r="I42" s="40"/>
      <c r="J42" s="40"/>
      <c r="K42" s="40"/>
      <c r="L42" s="40"/>
      <c r="M42" s="40"/>
    </row>
    <row r="43" spans="1:13" x14ac:dyDescent="0.25">
      <c r="A43" s="40" t="s">
        <v>127</v>
      </c>
      <c r="B43" s="40" t="s">
        <v>128</v>
      </c>
      <c r="C43" s="25">
        <v>0</v>
      </c>
      <c r="D43" s="25">
        <v>0</v>
      </c>
      <c r="E43" s="25">
        <f t="shared" si="0"/>
        <v>0</v>
      </c>
      <c r="F43" s="40"/>
      <c r="G43" s="40"/>
      <c r="H43" s="40"/>
      <c r="I43" s="40"/>
      <c r="J43" s="40"/>
      <c r="K43" s="40"/>
      <c r="L43" s="40"/>
      <c r="M43" s="40"/>
    </row>
    <row r="44" spans="1:13" x14ac:dyDescent="0.25">
      <c r="A44" s="40" t="s">
        <v>129</v>
      </c>
      <c r="B44" s="40" t="s">
        <v>130</v>
      </c>
      <c r="C44" s="25">
        <v>0</v>
      </c>
      <c r="D44" s="25">
        <v>0</v>
      </c>
      <c r="E44" s="25">
        <f t="shared" si="0"/>
        <v>0</v>
      </c>
      <c r="F44" s="40"/>
      <c r="G44" s="40"/>
      <c r="H44" s="40"/>
      <c r="I44" s="40"/>
      <c r="J44" s="40"/>
      <c r="K44" s="40"/>
      <c r="L44" s="40"/>
      <c r="M44" s="40"/>
    </row>
    <row r="45" spans="1:13" x14ac:dyDescent="0.25">
      <c r="A45" s="40" t="s">
        <v>131</v>
      </c>
      <c r="B45" s="40" t="s">
        <v>132</v>
      </c>
      <c r="C45" s="25">
        <v>0</v>
      </c>
      <c r="D45" s="25">
        <v>0</v>
      </c>
      <c r="E45" s="25">
        <f t="shared" si="0"/>
        <v>0</v>
      </c>
      <c r="F45" s="40"/>
      <c r="G45" s="40"/>
      <c r="H45" s="40"/>
      <c r="I45" s="40"/>
      <c r="J45" s="40"/>
      <c r="K45" s="40"/>
      <c r="L45" s="40"/>
      <c r="M45" s="40"/>
    </row>
    <row r="46" spans="1:13" x14ac:dyDescent="0.25">
      <c r="A46" s="40" t="s">
        <v>133</v>
      </c>
      <c r="B46" s="40" t="s">
        <v>134</v>
      </c>
      <c r="C46" s="25">
        <v>0</v>
      </c>
      <c r="D46" s="25">
        <v>0</v>
      </c>
      <c r="E46" s="25">
        <f t="shared" si="0"/>
        <v>0</v>
      </c>
      <c r="F46" s="40"/>
      <c r="G46" s="40"/>
      <c r="H46" s="40"/>
      <c r="I46" s="40"/>
      <c r="J46" s="40"/>
      <c r="K46" s="40"/>
      <c r="L46" s="40"/>
      <c r="M46" s="40"/>
    </row>
    <row r="47" spans="1:13" x14ac:dyDescent="0.25">
      <c r="A47" s="40" t="s">
        <v>135</v>
      </c>
      <c r="B47" s="40" t="s">
        <v>136</v>
      </c>
      <c r="C47" s="25">
        <v>0</v>
      </c>
      <c r="D47" s="25">
        <v>0</v>
      </c>
      <c r="E47" s="25">
        <f t="shared" si="0"/>
        <v>0</v>
      </c>
      <c r="F47" s="40"/>
      <c r="G47" s="40"/>
      <c r="H47" s="40"/>
      <c r="I47" s="40"/>
      <c r="J47" s="40"/>
      <c r="K47" s="40"/>
      <c r="L47" s="40"/>
      <c r="M47" s="40"/>
    </row>
    <row r="48" spans="1:13" x14ac:dyDescent="0.25">
      <c r="A48" s="40" t="s">
        <v>137</v>
      </c>
      <c r="B48" s="40" t="s">
        <v>138</v>
      </c>
      <c r="C48" s="25">
        <v>0</v>
      </c>
      <c r="D48" s="25">
        <v>0</v>
      </c>
      <c r="E48" s="25">
        <f t="shared" si="0"/>
        <v>0</v>
      </c>
      <c r="F48" s="40"/>
      <c r="G48" s="40"/>
      <c r="H48" s="40"/>
      <c r="I48" s="40"/>
      <c r="J48" s="40"/>
      <c r="K48" s="40"/>
      <c r="L48" s="40"/>
      <c r="M48" s="40"/>
    </row>
    <row r="49" spans="1:13" x14ac:dyDescent="0.25">
      <c r="A49" s="40" t="s">
        <v>139</v>
      </c>
      <c r="B49" s="40" t="s">
        <v>140</v>
      </c>
      <c r="C49" s="25">
        <v>0</v>
      </c>
      <c r="D49" s="25">
        <v>0</v>
      </c>
      <c r="E49" s="25">
        <f t="shared" si="0"/>
        <v>0</v>
      </c>
      <c r="F49" s="40"/>
      <c r="G49" s="40"/>
      <c r="H49" s="40"/>
      <c r="I49" s="40"/>
      <c r="J49" s="40"/>
      <c r="K49" s="40"/>
      <c r="L49" s="40"/>
      <c r="M49" s="40"/>
    </row>
    <row r="50" spans="1:13" x14ac:dyDescent="0.25">
      <c r="A50" s="40" t="s">
        <v>141</v>
      </c>
      <c r="B50" s="40" t="s">
        <v>142</v>
      </c>
      <c r="C50" s="25">
        <v>0</v>
      </c>
      <c r="D50" s="25">
        <v>0</v>
      </c>
      <c r="E50" s="25">
        <f t="shared" si="0"/>
        <v>0</v>
      </c>
      <c r="F50" s="40"/>
      <c r="G50" s="40"/>
      <c r="H50" s="40"/>
      <c r="I50" s="40"/>
      <c r="J50" s="40"/>
      <c r="K50" s="40"/>
      <c r="L50" s="40"/>
      <c r="M50" s="40"/>
    </row>
    <row r="51" spans="1:13" x14ac:dyDescent="0.25">
      <c r="A51" s="40" t="s">
        <v>143</v>
      </c>
      <c r="B51" s="40" t="s">
        <v>144</v>
      </c>
      <c r="C51" s="25">
        <v>0</v>
      </c>
      <c r="D51" s="25">
        <v>0</v>
      </c>
      <c r="E51" s="25">
        <f t="shared" si="0"/>
        <v>0</v>
      </c>
      <c r="F51" s="40"/>
      <c r="G51" s="40"/>
      <c r="H51" s="40"/>
      <c r="I51" s="40"/>
      <c r="J51" s="40"/>
      <c r="K51" s="40"/>
      <c r="L51" s="40"/>
      <c r="M51" s="40"/>
    </row>
    <row r="52" spans="1:13" x14ac:dyDescent="0.25">
      <c r="A52" s="40" t="s">
        <v>145</v>
      </c>
      <c r="B52" s="40" t="s">
        <v>146</v>
      </c>
      <c r="C52" s="25">
        <v>0</v>
      </c>
      <c r="D52" s="25">
        <v>0</v>
      </c>
      <c r="E52" s="25">
        <f t="shared" si="0"/>
        <v>0</v>
      </c>
      <c r="F52" s="40"/>
      <c r="G52" s="40"/>
      <c r="H52" s="40"/>
      <c r="I52" s="40"/>
      <c r="J52" s="40"/>
      <c r="K52" s="40"/>
      <c r="L52" s="40"/>
      <c r="M52" s="40"/>
    </row>
    <row r="53" spans="1:13" x14ac:dyDescent="0.25">
      <c r="A53" s="40" t="s">
        <v>147</v>
      </c>
      <c r="B53" s="40" t="s">
        <v>148</v>
      </c>
      <c r="C53" s="25">
        <v>0</v>
      </c>
      <c r="D53" s="25">
        <v>0</v>
      </c>
      <c r="E53" s="25">
        <f t="shared" si="0"/>
        <v>0</v>
      </c>
      <c r="F53" s="40"/>
      <c r="G53" s="40"/>
      <c r="H53" s="40"/>
      <c r="I53" s="40"/>
      <c r="J53" s="40"/>
      <c r="K53" s="40"/>
      <c r="L53" s="40"/>
      <c r="M53" s="40"/>
    </row>
    <row r="54" spans="1:13" x14ac:dyDescent="0.25">
      <c r="A54" s="40" t="s">
        <v>149</v>
      </c>
      <c r="B54" s="40" t="s">
        <v>150</v>
      </c>
      <c r="C54" s="25">
        <v>0</v>
      </c>
      <c r="D54" s="25">
        <v>0</v>
      </c>
      <c r="E54" s="25">
        <f t="shared" si="0"/>
        <v>0</v>
      </c>
      <c r="F54" s="40"/>
      <c r="G54" s="40"/>
      <c r="H54" s="40"/>
      <c r="I54" s="40"/>
      <c r="J54" s="40"/>
      <c r="K54" s="40"/>
      <c r="L54" s="40"/>
      <c r="M54" s="40"/>
    </row>
    <row r="55" spans="1:13" x14ac:dyDescent="0.25">
      <c r="A55" s="40" t="s">
        <v>151</v>
      </c>
      <c r="B55" s="40" t="s">
        <v>152</v>
      </c>
      <c r="C55" s="25">
        <v>0</v>
      </c>
      <c r="D55" s="25">
        <v>0</v>
      </c>
      <c r="E55" s="25">
        <f t="shared" si="0"/>
        <v>0</v>
      </c>
      <c r="F55" s="40"/>
      <c r="G55" s="40"/>
      <c r="H55" s="40"/>
      <c r="I55" s="40"/>
      <c r="J55" s="40"/>
      <c r="K55" s="40"/>
      <c r="L55" s="40"/>
      <c r="M55" s="40"/>
    </row>
    <row r="56" spans="1:13" x14ac:dyDescent="0.25">
      <c r="A56" s="40" t="s">
        <v>153</v>
      </c>
      <c r="B56" s="40" t="s">
        <v>154</v>
      </c>
      <c r="C56" s="25">
        <v>0</v>
      </c>
      <c r="D56" s="25">
        <v>0</v>
      </c>
      <c r="E56" s="25">
        <f t="shared" si="0"/>
        <v>0</v>
      </c>
      <c r="F56" s="40"/>
      <c r="G56" s="40"/>
      <c r="H56" s="40"/>
      <c r="I56" s="40"/>
      <c r="J56" s="40"/>
      <c r="K56" s="40"/>
      <c r="L56" s="40"/>
      <c r="M56" s="40"/>
    </row>
    <row r="57" spans="1:13" x14ac:dyDescent="0.25">
      <c r="A57" s="40" t="s">
        <v>155</v>
      </c>
      <c r="B57" s="40" t="s">
        <v>156</v>
      </c>
      <c r="C57" s="25">
        <v>0</v>
      </c>
      <c r="D57" s="25">
        <v>0</v>
      </c>
      <c r="E57" s="25">
        <f t="shared" si="0"/>
        <v>0</v>
      </c>
      <c r="F57" s="40"/>
      <c r="G57" s="40"/>
      <c r="H57" s="40"/>
      <c r="I57" s="40"/>
      <c r="J57" s="40"/>
      <c r="K57" s="40"/>
      <c r="L57" s="40"/>
      <c r="M57" s="40"/>
    </row>
    <row r="58" spans="1:13" x14ac:dyDescent="0.25">
      <c r="A58" s="40" t="s">
        <v>157</v>
      </c>
      <c r="B58" s="40" t="s">
        <v>158</v>
      </c>
      <c r="C58" s="25">
        <v>0</v>
      </c>
      <c r="D58" s="25">
        <v>0</v>
      </c>
      <c r="E58" s="25">
        <f t="shared" si="0"/>
        <v>0</v>
      </c>
      <c r="F58" s="40"/>
      <c r="G58" s="40"/>
      <c r="H58" s="40"/>
      <c r="I58" s="40"/>
      <c r="J58" s="40"/>
      <c r="K58" s="40"/>
      <c r="L58" s="40"/>
      <c r="M58" s="40"/>
    </row>
    <row r="59" spans="1:13" x14ac:dyDescent="0.25">
      <c r="A59" s="40" t="s">
        <v>159</v>
      </c>
      <c r="B59" s="40" t="s">
        <v>160</v>
      </c>
      <c r="C59" s="25">
        <v>0</v>
      </c>
      <c r="D59" s="25">
        <v>0</v>
      </c>
      <c r="E59" s="25">
        <f t="shared" si="0"/>
        <v>0</v>
      </c>
      <c r="F59" s="40"/>
      <c r="G59" s="40"/>
      <c r="H59" s="40"/>
      <c r="I59" s="40"/>
      <c r="J59" s="40"/>
      <c r="K59" s="40"/>
      <c r="L59" s="40"/>
      <c r="M59" s="40"/>
    </row>
    <row r="60" spans="1:13" x14ac:dyDescent="0.25">
      <c r="A60" s="40" t="s">
        <v>161</v>
      </c>
      <c r="B60" s="40" t="s">
        <v>162</v>
      </c>
      <c r="C60" s="25">
        <v>0</v>
      </c>
      <c r="D60" s="25">
        <v>0</v>
      </c>
      <c r="E60" s="25">
        <f t="shared" si="0"/>
        <v>0</v>
      </c>
      <c r="F60" s="40"/>
      <c r="G60" s="40"/>
      <c r="H60" s="40"/>
      <c r="I60" s="40"/>
      <c r="J60" s="40"/>
      <c r="K60" s="40"/>
      <c r="L60" s="40"/>
      <c r="M60" s="40"/>
    </row>
    <row r="61" spans="1:13" x14ac:dyDescent="0.25">
      <c r="A61" s="40" t="s">
        <v>163</v>
      </c>
      <c r="B61" s="40" t="s">
        <v>164</v>
      </c>
      <c r="C61" s="25">
        <v>0</v>
      </c>
      <c r="D61" s="25">
        <v>0</v>
      </c>
      <c r="E61" s="25">
        <f t="shared" si="0"/>
        <v>0</v>
      </c>
      <c r="F61" s="40"/>
      <c r="G61" s="40"/>
      <c r="H61" s="40"/>
      <c r="I61" s="40"/>
      <c r="J61" s="40"/>
      <c r="K61" s="40"/>
      <c r="L61" s="40"/>
      <c r="M61" s="40"/>
    </row>
    <row r="62" spans="1:13" x14ac:dyDescent="0.25">
      <c r="A62" s="1" t="s">
        <v>165</v>
      </c>
      <c r="B62" s="1" t="s">
        <v>49</v>
      </c>
      <c r="C62" s="22">
        <v>0</v>
      </c>
      <c r="D62" s="22">
        <v>-870205.54</v>
      </c>
      <c r="E62" s="22">
        <f t="shared" si="0"/>
        <v>-870205.54</v>
      </c>
      <c r="J62" s="40"/>
    </row>
    <row r="63" spans="1:13" x14ac:dyDescent="0.25">
      <c r="A63" s="1" t="s">
        <v>166</v>
      </c>
      <c r="B63" s="1" t="s">
        <v>52</v>
      </c>
      <c r="C63" s="22">
        <v>354</v>
      </c>
      <c r="D63" s="22">
        <v>0</v>
      </c>
      <c r="E63" s="22">
        <f t="shared" si="0"/>
        <v>354</v>
      </c>
      <c r="J63" s="40"/>
    </row>
    <row r="64" spans="1:13" x14ac:dyDescent="0.25">
      <c r="A64" s="1" t="s">
        <v>167</v>
      </c>
      <c r="B64" s="1" t="s">
        <v>168</v>
      </c>
      <c r="C64" s="22">
        <v>0</v>
      </c>
      <c r="D64" s="22">
        <v>0</v>
      </c>
      <c r="E64" s="22">
        <f t="shared" si="0"/>
        <v>0</v>
      </c>
      <c r="J64" s="40"/>
    </row>
    <row r="65" spans="1:10" x14ac:dyDescent="0.25">
      <c r="A65" s="1" t="s">
        <v>169</v>
      </c>
      <c r="B65" s="1" t="s">
        <v>170</v>
      </c>
      <c r="C65" s="22">
        <v>833452.13</v>
      </c>
      <c r="D65" s="22">
        <v>0</v>
      </c>
      <c r="E65" s="22">
        <f t="shared" si="0"/>
        <v>833452.13</v>
      </c>
      <c r="J65" s="40"/>
    </row>
    <row r="66" spans="1:10" x14ac:dyDescent="0.25">
      <c r="A66" s="1" t="s">
        <v>171</v>
      </c>
      <c r="B66" s="1" t="s">
        <v>172</v>
      </c>
      <c r="C66" s="22">
        <v>0</v>
      </c>
      <c r="D66" s="22">
        <v>0</v>
      </c>
      <c r="E66" s="22">
        <f t="shared" si="0"/>
        <v>0</v>
      </c>
      <c r="J66" s="40"/>
    </row>
    <row r="67" spans="1:10" x14ac:dyDescent="0.25">
      <c r="A67" s="1" t="s">
        <v>173</v>
      </c>
      <c r="B67" s="1" t="s">
        <v>174</v>
      </c>
      <c r="C67" s="22">
        <v>0</v>
      </c>
      <c r="D67" s="22">
        <v>0</v>
      </c>
      <c r="E67" s="22">
        <f t="shared" si="0"/>
        <v>0</v>
      </c>
      <c r="J67" s="40"/>
    </row>
    <row r="68" spans="1:10" x14ac:dyDescent="0.25">
      <c r="A68" s="1" t="s">
        <v>175</v>
      </c>
      <c r="B68" s="1" t="s">
        <v>54</v>
      </c>
      <c r="C68" s="22">
        <v>137220</v>
      </c>
      <c r="D68" s="22">
        <v>0</v>
      </c>
      <c r="E68" s="22">
        <f t="shared" si="0"/>
        <v>137220</v>
      </c>
      <c r="J68" s="40"/>
    </row>
    <row r="69" spans="1:10" x14ac:dyDescent="0.25">
      <c r="A69" s="1" t="s">
        <v>176</v>
      </c>
      <c r="B69" s="1" t="s">
        <v>177</v>
      </c>
      <c r="C69" s="22">
        <v>13195.08</v>
      </c>
      <c r="D69" s="22">
        <v>0</v>
      </c>
      <c r="E69" s="22">
        <f t="shared" si="0"/>
        <v>13195.08</v>
      </c>
      <c r="J69" s="40"/>
    </row>
    <row r="70" spans="1:10" x14ac:dyDescent="0.25">
      <c r="A70" s="1" t="s">
        <v>178</v>
      </c>
      <c r="B70" s="1" t="s">
        <v>179</v>
      </c>
      <c r="C70" s="22">
        <v>0</v>
      </c>
      <c r="D70" s="22">
        <v>-5500</v>
      </c>
      <c r="E70" s="22">
        <f t="shared" ref="E70:E133" si="1">SUM(C70:D70)</f>
        <v>-5500</v>
      </c>
      <c r="J70" s="40"/>
    </row>
    <row r="71" spans="1:10" x14ac:dyDescent="0.25">
      <c r="A71" s="1" t="s">
        <v>180</v>
      </c>
      <c r="B71" s="1" t="s">
        <v>56</v>
      </c>
      <c r="C71" s="22">
        <v>0</v>
      </c>
      <c r="D71" s="22">
        <v>0</v>
      </c>
      <c r="E71" s="22">
        <f t="shared" si="1"/>
        <v>0</v>
      </c>
      <c r="J71" s="40"/>
    </row>
    <row r="72" spans="1:10" x14ac:dyDescent="0.25">
      <c r="A72" s="1" t="s">
        <v>181</v>
      </c>
      <c r="B72" s="1" t="s">
        <v>58</v>
      </c>
      <c r="C72" s="22">
        <v>28943.79</v>
      </c>
      <c r="D72" s="22">
        <v>0</v>
      </c>
      <c r="E72" s="22">
        <f t="shared" si="1"/>
        <v>28943.79</v>
      </c>
      <c r="J72" s="40"/>
    </row>
    <row r="73" spans="1:10" x14ac:dyDescent="0.25">
      <c r="A73" s="1" t="s">
        <v>182</v>
      </c>
      <c r="B73" s="1" t="s">
        <v>60</v>
      </c>
      <c r="C73" s="22">
        <v>95583</v>
      </c>
      <c r="D73" s="22">
        <v>0</v>
      </c>
      <c r="E73" s="22">
        <f t="shared" si="1"/>
        <v>95583</v>
      </c>
      <c r="J73" s="40"/>
    </row>
    <row r="74" spans="1:10" x14ac:dyDescent="0.25">
      <c r="A74" s="1" t="s">
        <v>183</v>
      </c>
      <c r="B74" s="1" t="s">
        <v>184</v>
      </c>
      <c r="C74" s="22">
        <v>364766.92</v>
      </c>
      <c r="D74" s="22">
        <v>0</v>
      </c>
      <c r="E74" s="22">
        <f t="shared" si="1"/>
        <v>364766.92</v>
      </c>
      <c r="J74" s="40"/>
    </row>
    <row r="75" spans="1:10" x14ac:dyDescent="0.25">
      <c r="A75" s="1" t="s">
        <v>185</v>
      </c>
      <c r="B75" s="1" t="s">
        <v>186</v>
      </c>
      <c r="C75" s="22">
        <v>1238194.95</v>
      </c>
      <c r="D75" s="22">
        <v>0</v>
      </c>
      <c r="E75" s="22">
        <f t="shared" si="1"/>
        <v>1238194.95</v>
      </c>
      <c r="J75" s="40"/>
    </row>
    <row r="76" spans="1:10" x14ac:dyDescent="0.25">
      <c r="A76" s="1" t="s">
        <v>187</v>
      </c>
      <c r="B76" s="1" t="s">
        <v>188</v>
      </c>
      <c r="C76" s="22">
        <v>221674</v>
      </c>
      <c r="D76" s="22">
        <v>0</v>
      </c>
      <c r="E76" s="22">
        <f t="shared" si="1"/>
        <v>221674</v>
      </c>
      <c r="J76" s="40"/>
    </row>
    <row r="77" spans="1:10" x14ac:dyDescent="0.25">
      <c r="A77" s="1" t="s">
        <v>189</v>
      </c>
      <c r="B77" s="1" t="s">
        <v>190</v>
      </c>
      <c r="C77" s="22">
        <v>125054.75</v>
      </c>
      <c r="D77" s="22">
        <v>0</v>
      </c>
      <c r="E77" s="22">
        <f t="shared" si="1"/>
        <v>125054.75</v>
      </c>
      <c r="J77" s="40"/>
    </row>
    <row r="78" spans="1:10" x14ac:dyDescent="0.25">
      <c r="A78" s="1" t="s">
        <v>191</v>
      </c>
      <c r="B78" s="1" t="s">
        <v>192</v>
      </c>
      <c r="C78" s="22">
        <v>335634</v>
      </c>
      <c r="D78" s="22">
        <v>0</v>
      </c>
      <c r="E78" s="22">
        <f t="shared" si="1"/>
        <v>335634</v>
      </c>
      <c r="J78" s="40"/>
    </row>
    <row r="79" spans="1:10" x14ac:dyDescent="0.25">
      <c r="A79" s="1" t="s">
        <v>193</v>
      </c>
      <c r="B79" s="1" t="s">
        <v>194</v>
      </c>
      <c r="C79" s="22">
        <v>213333.7</v>
      </c>
      <c r="D79" s="22">
        <v>0</v>
      </c>
      <c r="E79" s="22">
        <f t="shared" si="1"/>
        <v>213333.7</v>
      </c>
      <c r="J79" s="40"/>
    </row>
    <row r="80" spans="1:10" x14ac:dyDescent="0.25">
      <c r="A80" s="1" t="s">
        <v>195</v>
      </c>
      <c r="B80" s="1" t="s">
        <v>196</v>
      </c>
      <c r="C80" s="22">
        <v>0</v>
      </c>
      <c r="D80" s="22">
        <v>0</v>
      </c>
      <c r="E80" s="22">
        <f t="shared" si="1"/>
        <v>0</v>
      </c>
      <c r="J80" s="40"/>
    </row>
    <row r="81" spans="1:10" x14ac:dyDescent="0.25">
      <c r="A81" s="1" t="s">
        <v>197</v>
      </c>
      <c r="B81" s="1" t="s">
        <v>198</v>
      </c>
      <c r="C81" s="22">
        <v>0</v>
      </c>
      <c r="D81" s="22">
        <v>-1658745.83</v>
      </c>
      <c r="E81" s="22">
        <f t="shared" si="1"/>
        <v>-1658745.83</v>
      </c>
      <c r="J81" s="40"/>
    </row>
    <row r="82" spans="1:10" x14ac:dyDescent="0.25">
      <c r="A82" s="1" t="s">
        <v>199</v>
      </c>
      <c r="B82" s="1" t="s">
        <v>64</v>
      </c>
      <c r="C82" s="22">
        <v>45371</v>
      </c>
      <c r="D82" s="22">
        <v>0</v>
      </c>
      <c r="E82" s="22">
        <f t="shared" si="1"/>
        <v>45371</v>
      </c>
      <c r="J82" s="40"/>
    </row>
    <row r="83" spans="1:10" x14ac:dyDescent="0.25">
      <c r="A83" s="1" t="s">
        <v>200</v>
      </c>
      <c r="B83" s="1" t="s">
        <v>201</v>
      </c>
      <c r="C83" s="22">
        <v>216455</v>
      </c>
      <c r="D83" s="22">
        <v>0</v>
      </c>
      <c r="E83" s="22">
        <f t="shared" si="1"/>
        <v>216455</v>
      </c>
      <c r="J83" s="40"/>
    </row>
    <row r="84" spans="1:10" x14ac:dyDescent="0.25">
      <c r="A84" s="1" t="s">
        <v>202</v>
      </c>
      <c r="B84" s="1" t="s">
        <v>68</v>
      </c>
      <c r="C84" s="22">
        <v>0</v>
      </c>
      <c r="D84" s="22">
        <v>0</v>
      </c>
      <c r="E84" s="22">
        <f t="shared" si="1"/>
        <v>0</v>
      </c>
      <c r="J84" s="40"/>
    </row>
    <row r="85" spans="1:10" x14ac:dyDescent="0.25">
      <c r="A85" s="1" t="s">
        <v>203</v>
      </c>
      <c r="B85" s="1" t="s">
        <v>70</v>
      </c>
      <c r="C85" s="22">
        <v>8825.9699999999993</v>
      </c>
      <c r="D85" s="22">
        <v>0</v>
      </c>
      <c r="E85" s="22">
        <f t="shared" si="1"/>
        <v>8825.9699999999993</v>
      </c>
      <c r="J85" s="40"/>
    </row>
    <row r="86" spans="1:10" x14ac:dyDescent="0.25">
      <c r="A86" s="1" t="s">
        <v>204</v>
      </c>
      <c r="B86" s="1" t="s">
        <v>205</v>
      </c>
      <c r="C86" s="22">
        <v>0</v>
      </c>
      <c r="D86" s="22">
        <v>0</v>
      </c>
      <c r="E86" s="22">
        <f t="shared" si="1"/>
        <v>0</v>
      </c>
      <c r="J86" s="40"/>
    </row>
    <row r="87" spans="1:10" x14ac:dyDescent="0.25">
      <c r="A87" s="1" t="s">
        <v>206</v>
      </c>
      <c r="B87" s="1" t="s">
        <v>73</v>
      </c>
      <c r="C87" s="22">
        <v>0</v>
      </c>
      <c r="D87" s="22">
        <v>-51010.18</v>
      </c>
      <c r="E87" s="22">
        <f t="shared" si="1"/>
        <v>-51010.18</v>
      </c>
      <c r="J87" s="40"/>
    </row>
    <row r="88" spans="1:10" x14ac:dyDescent="0.25">
      <c r="A88" s="1" t="s">
        <v>207</v>
      </c>
      <c r="B88" s="1" t="s">
        <v>208</v>
      </c>
      <c r="C88" s="22">
        <v>0</v>
      </c>
      <c r="D88" s="22">
        <v>-8088.43</v>
      </c>
      <c r="E88" s="22">
        <f t="shared" si="1"/>
        <v>-8088.43</v>
      </c>
      <c r="J88" s="40"/>
    </row>
    <row r="89" spans="1:10" x14ac:dyDescent="0.25">
      <c r="A89" s="1" t="s">
        <v>209</v>
      </c>
      <c r="B89" s="1" t="s">
        <v>210</v>
      </c>
      <c r="C89" s="22">
        <v>0</v>
      </c>
      <c r="D89" s="22">
        <v>-6350.2</v>
      </c>
      <c r="E89" s="22">
        <f t="shared" si="1"/>
        <v>-6350.2</v>
      </c>
      <c r="J89" s="40"/>
    </row>
    <row r="90" spans="1:10" x14ac:dyDescent="0.25">
      <c r="A90" s="1" t="s">
        <v>211</v>
      </c>
      <c r="B90" s="1" t="s">
        <v>79</v>
      </c>
      <c r="C90" s="22">
        <v>0</v>
      </c>
      <c r="D90" s="22">
        <v>-63695</v>
      </c>
      <c r="E90" s="22">
        <f t="shared" si="1"/>
        <v>-63695</v>
      </c>
      <c r="J90" s="40"/>
    </row>
    <row r="91" spans="1:10" x14ac:dyDescent="0.25">
      <c r="A91" s="1" t="s">
        <v>212</v>
      </c>
      <c r="B91" s="1" t="s">
        <v>213</v>
      </c>
      <c r="C91" s="22">
        <v>0</v>
      </c>
      <c r="D91" s="22">
        <v>-5921</v>
      </c>
      <c r="E91" s="22">
        <f t="shared" si="1"/>
        <v>-5921</v>
      </c>
      <c r="J91" s="40"/>
    </row>
    <row r="92" spans="1:10" x14ac:dyDescent="0.25">
      <c r="A92" s="1" t="s">
        <v>214</v>
      </c>
      <c r="B92" s="1" t="s">
        <v>215</v>
      </c>
      <c r="C92" s="22">
        <v>18.2</v>
      </c>
      <c r="D92" s="22">
        <v>0</v>
      </c>
      <c r="E92" s="22">
        <f t="shared" si="1"/>
        <v>18.2</v>
      </c>
      <c r="J92" s="40"/>
    </row>
    <row r="93" spans="1:10" x14ac:dyDescent="0.25">
      <c r="A93" s="1" t="s">
        <v>216</v>
      </c>
      <c r="B93" s="1" t="s">
        <v>217</v>
      </c>
      <c r="C93" s="22">
        <v>0</v>
      </c>
      <c r="D93" s="22">
        <v>0</v>
      </c>
      <c r="E93" s="22">
        <f t="shared" si="1"/>
        <v>0</v>
      </c>
      <c r="J93" s="40"/>
    </row>
    <row r="94" spans="1:10" x14ac:dyDescent="0.25">
      <c r="A94" s="1" t="s">
        <v>218</v>
      </c>
      <c r="B94" s="1" t="s">
        <v>219</v>
      </c>
      <c r="C94" s="22">
        <v>0</v>
      </c>
      <c r="D94" s="22">
        <v>-130.77000000000001</v>
      </c>
      <c r="E94" s="22">
        <f t="shared" si="1"/>
        <v>-130.77000000000001</v>
      </c>
      <c r="J94" s="40"/>
    </row>
    <row r="95" spans="1:10" x14ac:dyDescent="0.25">
      <c r="A95" s="1" t="s">
        <v>220</v>
      </c>
      <c r="B95" s="1" t="s">
        <v>221</v>
      </c>
      <c r="C95" s="22">
        <v>0</v>
      </c>
      <c r="D95" s="22">
        <v>-84650</v>
      </c>
      <c r="E95" s="22">
        <f t="shared" si="1"/>
        <v>-84650</v>
      </c>
      <c r="J95" s="40"/>
    </row>
    <row r="96" spans="1:10" x14ac:dyDescent="0.25">
      <c r="A96" s="1" t="s">
        <v>222</v>
      </c>
      <c r="B96" s="1" t="s">
        <v>89</v>
      </c>
      <c r="C96" s="22">
        <v>0</v>
      </c>
      <c r="D96" s="22">
        <v>-16358</v>
      </c>
      <c r="E96" s="22">
        <f t="shared" si="1"/>
        <v>-16358</v>
      </c>
      <c r="J96" s="40"/>
    </row>
    <row r="97" spans="1:10" x14ac:dyDescent="0.25">
      <c r="A97" s="1" t="s">
        <v>223</v>
      </c>
      <c r="B97" s="1" t="s">
        <v>224</v>
      </c>
      <c r="C97" s="22">
        <v>0</v>
      </c>
      <c r="D97" s="22">
        <v>-27782</v>
      </c>
      <c r="E97" s="22">
        <f t="shared" si="1"/>
        <v>-27782</v>
      </c>
      <c r="J97" s="40"/>
    </row>
    <row r="98" spans="1:10" x14ac:dyDescent="0.25">
      <c r="A98" s="1" t="s">
        <v>225</v>
      </c>
      <c r="B98" s="1" t="s">
        <v>91</v>
      </c>
      <c r="C98" s="22">
        <v>0</v>
      </c>
      <c r="D98" s="22">
        <v>0</v>
      </c>
      <c r="E98" s="22">
        <f t="shared" si="1"/>
        <v>0</v>
      </c>
      <c r="J98" s="40"/>
    </row>
    <row r="99" spans="1:10" x14ac:dyDescent="0.25">
      <c r="A99" s="1" t="s">
        <v>226</v>
      </c>
      <c r="B99" s="1" t="s">
        <v>227</v>
      </c>
      <c r="C99" s="22">
        <v>0</v>
      </c>
      <c r="D99" s="22">
        <v>-371.01</v>
      </c>
      <c r="E99" s="22">
        <f t="shared" si="1"/>
        <v>-371.01</v>
      </c>
      <c r="J99" s="40"/>
    </row>
    <row r="100" spans="1:10" x14ac:dyDescent="0.25">
      <c r="A100" s="1" t="s">
        <v>228</v>
      </c>
      <c r="B100" s="1" t="s">
        <v>229</v>
      </c>
      <c r="C100" s="22">
        <v>0</v>
      </c>
      <c r="D100" s="22">
        <v>-57539.8</v>
      </c>
      <c r="E100" s="22">
        <f t="shared" si="1"/>
        <v>-57539.8</v>
      </c>
      <c r="J100" s="40"/>
    </row>
    <row r="101" spans="1:10" x14ac:dyDescent="0.25">
      <c r="A101" s="1" t="s">
        <v>230</v>
      </c>
      <c r="B101" s="1" t="s">
        <v>231</v>
      </c>
      <c r="C101" s="22">
        <v>0</v>
      </c>
      <c r="D101" s="22">
        <v>-20552</v>
      </c>
      <c r="E101" s="22">
        <f t="shared" si="1"/>
        <v>-20552</v>
      </c>
      <c r="J101" s="40"/>
    </row>
    <row r="102" spans="1:10" x14ac:dyDescent="0.25">
      <c r="A102" s="1" t="s">
        <v>232</v>
      </c>
      <c r="B102" s="1" t="s">
        <v>233</v>
      </c>
      <c r="C102" s="22">
        <v>0</v>
      </c>
      <c r="D102" s="22">
        <v>0</v>
      </c>
      <c r="E102" s="22">
        <f t="shared" si="1"/>
        <v>0</v>
      </c>
      <c r="J102" s="40"/>
    </row>
    <row r="103" spans="1:10" x14ac:dyDescent="0.25">
      <c r="A103" s="1" t="s">
        <v>234</v>
      </c>
      <c r="B103" s="1" t="s">
        <v>235</v>
      </c>
      <c r="C103" s="22">
        <v>0</v>
      </c>
      <c r="D103" s="22">
        <v>0</v>
      </c>
      <c r="E103" s="22">
        <f t="shared" si="1"/>
        <v>0</v>
      </c>
      <c r="J103" s="40"/>
    </row>
    <row r="104" spans="1:10" x14ac:dyDescent="0.25">
      <c r="A104" s="1" t="s">
        <v>236</v>
      </c>
      <c r="B104" s="1" t="s">
        <v>237</v>
      </c>
      <c r="C104" s="22">
        <v>0</v>
      </c>
      <c r="D104" s="22">
        <v>0</v>
      </c>
      <c r="E104" s="22">
        <f t="shared" si="1"/>
        <v>0</v>
      </c>
      <c r="J104" s="40"/>
    </row>
    <row r="105" spans="1:10" x14ac:dyDescent="0.25">
      <c r="A105" s="1" t="s">
        <v>238</v>
      </c>
      <c r="B105" s="1" t="s">
        <v>235</v>
      </c>
      <c r="C105" s="22">
        <v>0</v>
      </c>
      <c r="D105" s="22">
        <v>0</v>
      </c>
      <c r="E105" s="22">
        <f t="shared" si="1"/>
        <v>0</v>
      </c>
      <c r="J105" s="40"/>
    </row>
    <row r="106" spans="1:10" x14ac:dyDescent="0.25">
      <c r="A106" s="1" t="s">
        <v>239</v>
      </c>
      <c r="B106" s="1" t="s">
        <v>240</v>
      </c>
      <c r="C106" s="22">
        <v>0</v>
      </c>
      <c r="D106" s="22">
        <v>0</v>
      </c>
      <c r="E106" s="22">
        <f t="shared" si="1"/>
        <v>0</v>
      </c>
      <c r="J106" s="40"/>
    </row>
    <row r="107" spans="1:10" x14ac:dyDescent="0.25">
      <c r="A107" s="1" t="s">
        <v>241</v>
      </c>
      <c r="B107" s="1" t="s">
        <v>242</v>
      </c>
      <c r="C107" s="22">
        <v>0</v>
      </c>
      <c r="D107" s="22">
        <v>0</v>
      </c>
      <c r="E107" s="22">
        <f t="shared" si="1"/>
        <v>0</v>
      </c>
      <c r="J107" s="40"/>
    </row>
    <row r="108" spans="1:10" x14ac:dyDescent="0.25">
      <c r="A108" s="1" t="s">
        <v>243</v>
      </c>
      <c r="B108" s="1" t="s">
        <v>244</v>
      </c>
      <c r="C108" s="22">
        <v>0</v>
      </c>
      <c r="D108" s="22">
        <v>0</v>
      </c>
      <c r="E108" s="22">
        <f t="shared" si="1"/>
        <v>0</v>
      </c>
      <c r="J108" s="40"/>
    </row>
    <row r="109" spans="1:10" x14ac:dyDescent="0.25">
      <c r="A109" s="1" t="s">
        <v>245</v>
      </c>
      <c r="B109" s="1" t="s">
        <v>246</v>
      </c>
      <c r="C109" s="22">
        <v>0</v>
      </c>
      <c r="D109" s="22">
        <v>-1172311.18</v>
      </c>
      <c r="E109" s="22">
        <f t="shared" si="1"/>
        <v>-1172311.18</v>
      </c>
      <c r="J109" s="40"/>
    </row>
    <row r="110" spans="1:10" x14ac:dyDescent="0.25">
      <c r="A110" s="1" t="s">
        <v>247</v>
      </c>
      <c r="B110" s="1" t="s">
        <v>248</v>
      </c>
      <c r="C110" s="22">
        <v>0</v>
      </c>
      <c r="D110" s="22">
        <v>0</v>
      </c>
      <c r="E110" s="22">
        <f t="shared" si="1"/>
        <v>0</v>
      </c>
      <c r="J110" s="40"/>
    </row>
    <row r="111" spans="1:10" x14ac:dyDescent="0.25">
      <c r="A111" s="1" t="s">
        <v>249</v>
      </c>
      <c r="B111" s="1" t="s">
        <v>250</v>
      </c>
      <c r="C111" s="22">
        <v>0</v>
      </c>
      <c r="D111" s="22">
        <v>-729867.04</v>
      </c>
      <c r="E111" s="22">
        <f t="shared" si="1"/>
        <v>-729867.04</v>
      </c>
      <c r="J111" s="40"/>
    </row>
    <row r="112" spans="1:10" x14ac:dyDescent="0.25">
      <c r="A112" s="1" t="s">
        <v>251</v>
      </c>
      <c r="B112" s="1" t="s">
        <v>831</v>
      </c>
      <c r="C112" s="22">
        <v>0</v>
      </c>
      <c r="D112" s="22">
        <v>-3449</v>
      </c>
      <c r="E112" s="22">
        <f t="shared" si="1"/>
        <v>-3449</v>
      </c>
      <c r="J112" s="40"/>
    </row>
    <row r="113" spans="1:10" x14ac:dyDescent="0.25">
      <c r="A113" s="1" t="s">
        <v>253</v>
      </c>
      <c r="B113" s="1" t="s">
        <v>254</v>
      </c>
      <c r="C113" s="22">
        <v>0</v>
      </c>
      <c r="D113" s="22">
        <v>-64465.95</v>
      </c>
      <c r="E113" s="22">
        <f t="shared" si="1"/>
        <v>-64465.95</v>
      </c>
      <c r="J113" s="40"/>
    </row>
    <row r="114" spans="1:10" x14ac:dyDescent="0.25">
      <c r="A114" s="1" t="s">
        <v>255</v>
      </c>
      <c r="B114" s="1" t="s">
        <v>256</v>
      </c>
      <c r="C114" s="22">
        <v>0</v>
      </c>
      <c r="D114" s="22">
        <v>-3247.73</v>
      </c>
      <c r="E114" s="22">
        <f t="shared" si="1"/>
        <v>-3247.73</v>
      </c>
      <c r="J114" s="40"/>
    </row>
    <row r="115" spans="1:10" x14ac:dyDescent="0.25">
      <c r="A115" s="1" t="s">
        <v>257</v>
      </c>
      <c r="B115" s="1" t="s">
        <v>99</v>
      </c>
      <c r="C115" s="22">
        <v>0</v>
      </c>
      <c r="D115" s="22">
        <v>0</v>
      </c>
      <c r="E115" s="22">
        <f t="shared" si="1"/>
        <v>0</v>
      </c>
      <c r="J115" s="40"/>
    </row>
    <row r="116" spans="1:10" x14ac:dyDescent="0.25">
      <c r="A116" s="1" t="s">
        <v>258</v>
      </c>
      <c r="B116" s="1" t="s">
        <v>259</v>
      </c>
      <c r="C116" s="22">
        <v>0</v>
      </c>
      <c r="D116" s="22">
        <v>-6902.11</v>
      </c>
      <c r="E116" s="22">
        <f t="shared" si="1"/>
        <v>-6902.11</v>
      </c>
      <c r="J116" s="40"/>
    </row>
    <row r="117" spans="1:10" x14ac:dyDescent="0.25">
      <c r="A117" s="1" t="s">
        <v>260</v>
      </c>
      <c r="B117" s="1" t="s">
        <v>832</v>
      </c>
      <c r="C117" s="22">
        <v>0</v>
      </c>
      <c r="D117" s="22">
        <v>-25238.14</v>
      </c>
      <c r="E117" s="22">
        <f t="shared" si="1"/>
        <v>-25238.14</v>
      </c>
      <c r="J117" s="40"/>
    </row>
    <row r="118" spans="1:10" x14ac:dyDescent="0.25">
      <c r="A118" s="1" t="s">
        <v>262</v>
      </c>
      <c r="B118" s="1" t="s">
        <v>263</v>
      </c>
      <c r="C118" s="22">
        <v>0</v>
      </c>
      <c r="D118" s="22">
        <v>-12514.72</v>
      </c>
      <c r="E118" s="22">
        <f t="shared" si="1"/>
        <v>-12514.72</v>
      </c>
      <c r="J118" s="40"/>
    </row>
    <row r="119" spans="1:10" x14ac:dyDescent="0.25">
      <c r="A119" s="1" t="s">
        <v>264</v>
      </c>
      <c r="B119" s="1" t="s">
        <v>265</v>
      </c>
      <c r="C119" s="22">
        <v>0</v>
      </c>
      <c r="D119" s="22">
        <v>-88636.21</v>
      </c>
      <c r="E119" s="22">
        <f t="shared" si="1"/>
        <v>-88636.21</v>
      </c>
      <c r="J119" s="40"/>
    </row>
    <row r="120" spans="1:10" x14ac:dyDescent="0.25">
      <c r="A120" s="1" t="s">
        <v>266</v>
      </c>
      <c r="B120" s="1" t="s">
        <v>267</v>
      </c>
      <c r="C120" s="22">
        <v>0</v>
      </c>
      <c r="D120" s="22">
        <v>0</v>
      </c>
      <c r="E120" s="22">
        <f t="shared" si="1"/>
        <v>0</v>
      </c>
      <c r="J120" s="40"/>
    </row>
    <row r="121" spans="1:10" x14ac:dyDescent="0.25">
      <c r="A121" s="1" t="s">
        <v>268</v>
      </c>
      <c r="B121" s="1" t="s">
        <v>101</v>
      </c>
      <c r="C121" s="22">
        <v>581541.52</v>
      </c>
      <c r="D121" s="22">
        <v>0</v>
      </c>
      <c r="E121" s="22">
        <f t="shared" si="1"/>
        <v>581541.52</v>
      </c>
      <c r="J121" s="40"/>
    </row>
    <row r="122" spans="1:10" x14ac:dyDescent="0.25">
      <c r="A122" s="1" t="s">
        <v>269</v>
      </c>
      <c r="B122" s="1" t="s">
        <v>104</v>
      </c>
      <c r="C122" s="22">
        <v>44878.22</v>
      </c>
      <c r="D122" s="22">
        <v>0</v>
      </c>
      <c r="E122" s="22">
        <f t="shared" si="1"/>
        <v>44878.22</v>
      </c>
      <c r="J122" s="40"/>
    </row>
    <row r="123" spans="1:10" x14ac:dyDescent="0.25">
      <c r="A123" s="1" t="s">
        <v>270</v>
      </c>
      <c r="B123" s="1" t="s">
        <v>106</v>
      </c>
      <c r="C123" s="22">
        <v>116958.44</v>
      </c>
      <c r="D123" s="22">
        <v>0</v>
      </c>
      <c r="E123" s="22">
        <f t="shared" si="1"/>
        <v>116958.44</v>
      </c>
      <c r="J123" s="40"/>
    </row>
    <row r="124" spans="1:10" x14ac:dyDescent="0.25">
      <c r="A124" s="1" t="s">
        <v>271</v>
      </c>
      <c r="B124" s="1" t="s">
        <v>108</v>
      </c>
      <c r="C124" s="22">
        <v>103997.06</v>
      </c>
      <c r="D124" s="22">
        <v>0</v>
      </c>
      <c r="E124" s="22">
        <f t="shared" si="1"/>
        <v>103997.06</v>
      </c>
      <c r="J124" s="40"/>
    </row>
    <row r="125" spans="1:10" x14ac:dyDescent="0.25">
      <c r="A125" s="1" t="s">
        <v>272</v>
      </c>
      <c r="B125" s="1" t="s">
        <v>110</v>
      </c>
      <c r="C125" s="22">
        <v>8700.5499999999993</v>
      </c>
      <c r="D125" s="22">
        <v>0</v>
      </c>
      <c r="E125" s="22">
        <f t="shared" si="1"/>
        <v>8700.5499999999993</v>
      </c>
      <c r="J125" s="40"/>
    </row>
    <row r="126" spans="1:10" x14ac:dyDescent="0.25">
      <c r="A126" s="1" t="s">
        <v>273</v>
      </c>
      <c r="B126" s="1" t="s">
        <v>112</v>
      </c>
      <c r="C126" s="22">
        <v>10668.49</v>
      </c>
      <c r="D126" s="22">
        <v>0</v>
      </c>
      <c r="E126" s="22">
        <f t="shared" si="1"/>
        <v>10668.49</v>
      </c>
      <c r="J126" s="40"/>
    </row>
    <row r="127" spans="1:10" x14ac:dyDescent="0.25">
      <c r="A127" s="1" t="s">
        <v>274</v>
      </c>
      <c r="B127" s="1" t="s">
        <v>114</v>
      </c>
      <c r="C127" s="22">
        <v>71.680000000000007</v>
      </c>
      <c r="D127" s="22">
        <v>0</v>
      </c>
      <c r="E127" s="22">
        <f t="shared" si="1"/>
        <v>71.680000000000007</v>
      </c>
      <c r="J127" s="40"/>
    </row>
    <row r="128" spans="1:10" x14ac:dyDescent="0.25">
      <c r="A128" s="1" t="s">
        <v>275</v>
      </c>
      <c r="B128" s="1" t="s">
        <v>276</v>
      </c>
      <c r="C128" s="22">
        <v>634.02</v>
      </c>
      <c r="D128" s="22">
        <v>0</v>
      </c>
      <c r="E128" s="22">
        <f t="shared" si="1"/>
        <v>634.02</v>
      </c>
      <c r="J128" s="40"/>
    </row>
    <row r="129" spans="1:10" x14ac:dyDescent="0.25">
      <c r="A129" s="1" t="s">
        <v>277</v>
      </c>
      <c r="B129" s="1" t="s">
        <v>278</v>
      </c>
      <c r="C129" s="22">
        <v>1105.69</v>
      </c>
      <c r="D129" s="22">
        <v>0</v>
      </c>
      <c r="E129" s="22">
        <f t="shared" si="1"/>
        <v>1105.69</v>
      </c>
      <c r="J129" s="40"/>
    </row>
    <row r="130" spans="1:10" x14ac:dyDescent="0.25">
      <c r="A130" s="1" t="s">
        <v>279</v>
      </c>
      <c r="B130" s="1" t="s">
        <v>280</v>
      </c>
      <c r="C130" s="22">
        <v>12289.65</v>
      </c>
      <c r="D130" s="22">
        <v>0</v>
      </c>
      <c r="E130" s="22">
        <f t="shared" si="1"/>
        <v>12289.65</v>
      </c>
      <c r="J130" s="40"/>
    </row>
    <row r="131" spans="1:10" x14ac:dyDescent="0.25">
      <c r="A131" s="1" t="s">
        <v>281</v>
      </c>
      <c r="B131" s="1" t="s">
        <v>282</v>
      </c>
      <c r="C131" s="22">
        <v>16269.74</v>
      </c>
      <c r="D131" s="22">
        <v>0</v>
      </c>
      <c r="E131" s="22">
        <f t="shared" si="1"/>
        <v>16269.74</v>
      </c>
      <c r="J131" s="40"/>
    </row>
    <row r="132" spans="1:10" x14ac:dyDescent="0.25">
      <c r="A132" s="1" t="s">
        <v>283</v>
      </c>
      <c r="B132" s="1" t="s">
        <v>120</v>
      </c>
      <c r="C132" s="22">
        <v>37018.879999999997</v>
      </c>
      <c r="D132" s="22">
        <v>0</v>
      </c>
      <c r="E132" s="22">
        <f t="shared" si="1"/>
        <v>37018.879999999997</v>
      </c>
      <c r="J132" s="40"/>
    </row>
    <row r="133" spans="1:10" x14ac:dyDescent="0.25">
      <c r="A133" s="1" t="s">
        <v>284</v>
      </c>
      <c r="B133" s="1" t="s">
        <v>124</v>
      </c>
      <c r="C133" s="22">
        <v>7418.63</v>
      </c>
      <c r="D133" s="22">
        <v>0</v>
      </c>
      <c r="E133" s="22">
        <f t="shared" si="1"/>
        <v>7418.63</v>
      </c>
      <c r="J133" s="40"/>
    </row>
    <row r="134" spans="1:10" x14ac:dyDescent="0.25">
      <c r="A134" s="1" t="s">
        <v>285</v>
      </c>
      <c r="B134" s="1" t="s">
        <v>126</v>
      </c>
      <c r="C134" s="22">
        <v>3026.64</v>
      </c>
      <c r="D134" s="22">
        <v>0</v>
      </c>
      <c r="E134" s="22">
        <f t="shared" ref="E134:E197" si="2">SUM(C134:D134)</f>
        <v>3026.64</v>
      </c>
      <c r="J134" s="40"/>
    </row>
    <row r="135" spans="1:10" x14ac:dyDescent="0.25">
      <c r="A135" s="1" t="s">
        <v>286</v>
      </c>
      <c r="B135" s="1" t="s">
        <v>287</v>
      </c>
      <c r="C135" s="22">
        <v>2533.35</v>
      </c>
      <c r="D135" s="22">
        <v>0</v>
      </c>
      <c r="E135" s="22">
        <f t="shared" si="2"/>
        <v>2533.35</v>
      </c>
      <c r="J135" s="40"/>
    </row>
    <row r="136" spans="1:10" x14ac:dyDescent="0.25">
      <c r="A136" s="1" t="s">
        <v>288</v>
      </c>
      <c r="B136" s="1" t="s">
        <v>130</v>
      </c>
      <c r="C136" s="22">
        <v>3157.5</v>
      </c>
      <c r="D136" s="22">
        <v>0</v>
      </c>
      <c r="E136" s="22">
        <f t="shared" si="2"/>
        <v>3157.5</v>
      </c>
      <c r="J136" s="40"/>
    </row>
    <row r="137" spans="1:10" x14ac:dyDescent="0.25">
      <c r="A137" s="1" t="s">
        <v>289</v>
      </c>
      <c r="B137" s="1" t="s">
        <v>132</v>
      </c>
      <c r="C137" s="22">
        <v>4995.79</v>
      </c>
      <c r="D137" s="22">
        <v>0</v>
      </c>
      <c r="E137" s="22">
        <f t="shared" si="2"/>
        <v>4995.79</v>
      </c>
      <c r="J137" s="40"/>
    </row>
    <row r="138" spans="1:10" x14ac:dyDescent="0.25">
      <c r="A138" s="1" t="s">
        <v>290</v>
      </c>
      <c r="B138" s="1" t="s">
        <v>291</v>
      </c>
      <c r="C138" s="22">
        <v>0</v>
      </c>
      <c r="D138" s="22">
        <v>0</v>
      </c>
      <c r="E138" s="22">
        <f t="shared" si="2"/>
        <v>0</v>
      </c>
      <c r="J138" s="40"/>
    </row>
    <row r="139" spans="1:10" x14ac:dyDescent="0.25">
      <c r="A139" s="1" t="s">
        <v>292</v>
      </c>
      <c r="B139" s="1" t="s">
        <v>293</v>
      </c>
      <c r="C139" s="22">
        <v>495.74</v>
      </c>
      <c r="D139" s="22">
        <v>0</v>
      </c>
      <c r="E139" s="22">
        <f t="shared" si="2"/>
        <v>495.74</v>
      </c>
      <c r="J139" s="40"/>
    </row>
    <row r="140" spans="1:10" x14ac:dyDescent="0.25">
      <c r="A140" s="1" t="s">
        <v>294</v>
      </c>
      <c r="B140" s="1" t="s">
        <v>295</v>
      </c>
      <c r="C140" s="22">
        <v>10000</v>
      </c>
      <c r="D140" s="22">
        <v>0</v>
      </c>
      <c r="E140" s="22">
        <f t="shared" si="2"/>
        <v>10000</v>
      </c>
      <c r="J140" s="40"/>
    </row>
    <row r="141" spans="1:10" x14ac:dyDescent="0.25">
      <c r="A141" s="1" t="s">
        <v>296</v>
      </c>
      <c r="B141" s="1" t="s">
        <v>297</v>
      </c>
      <c r="C141" s="22">
        <v>6219.05</v>
      </c>
      <c r="D141" s="22">
        <v>0</v>
      </c>
      <c r="E141" s="22">
        <f t="shared" si="2"/>
        <v>6219.05</v>
      </c>
      <c r="J141" s="40"/>
    </row>
    <row r="142" spans="1:10" x14ac:dyDescent="0.25">
      <c r="A142" s="1" t="s">
        <v>298</v>
      </c>
      <c r="B142" s="1" t="s">
        <v>299</v>
      </c>
      <c r="C142" s="22">
        <v>0</v>
      </c>
      <c r="D142" s="22">
        <v>0</v>
      </c>
      <c r="E142" s="22">
        <f t="shared" si="2"/>
        <v>0</v>
      </c>
      <c r="J142" s="40"/>
    </row>
    <row r="143" spans="1:10" x14ac:dyDescent="0.25">
      <c r="A143" s="1" t="s">
        <v>300</v>
      </c>
      <c r="B143" s="1" t="s">
        <v>301</v>
      </c>
      <c r="C143" s="22">
        <v>1447.2</v>
      </c>
      <c r="D143" s="22">
        <v>0</v>
      </c>
      <c r="E143" s="22">
        <f t="shared" si="2"/>
        <v>1447.2</v>
      </c>
      <c r="J143" s="40"/>
    </row>
    <row r="144" spans="1:10" x14ac:dyDescent="0.25">
      <c r="A144" s="1" t="s">
        <v>302</v>
      </c>
      <c r="B144" s="1" t="s">
        <v>303</v>
      </c>
      <c r="C144" s="22">
        <v>22535.47</v>
      </c>
      <c r="D144" s="22">
        <v>0</v>
      </c>
      <c r="E144" s="22">
        <f t="shared" si="2"/>
        <v>22535.47</v>
      </c>
      <c r="J144" s="40"/>
    </row>
    <row r="145" spans="1:10" x14ac:dyDescent="0.25">
      <c r="A145" s="1" t="s">
        <v>304</v>
      </c>
      <c r="B145" s="1" t="s">
        <v>305</v>
      </c>
      <c r="C145" s="22">
        <v>0</v>
      </c>
      <c r="D145" s="22">
        <v>0</v>
      </c>
      <c r="E145" s="22">
        <f t="shared" si="2"/>
        <v>0</v>
      </c>
      <c r="J145" s="40"/>
    </row>
    <row r="146" spans="1:10" x14ac:dyDescent="0.25">
      <c r="A146" s="1" t="s">
        <v>306</v>
      </c>
      <c r="B146" s="1" t="s">
        <v>307</v>
      </c>
      <c r="C146" s="22">
        <v>620</v>
      </c>
      <c r="D146" s="22">
        <v>0</v>
      </c>
      <c r="E146" s="22">
        <f t="shared" si="2"/>
        <v>620</v>
      </c>
      <c r="J146" s="40"/>
    </row>
    <row r="147" spans="1:10" x14ac:dyDescent="0.25">
      <c r="A147" s="1" t="s">
        <v>308</v>
      </c>
      <c r="B147" s="1" t="s">
        <v>309</v>
      </c>
      <c r="C147" s="22">
        <v>9310.7099999999991</v>
      </c>
      <c r="D147" s="22">
        <v>0</v>
      </c>
      <c r="E147" s="22">
        <f t="shared" si="2"/>
        <v>9310.7099999999991</v>
      </c>
      <c r="J147" s="40"/>
    </row>
    <row r="148" spans="1:10" x14ac:dyDescent="0.25">
      <c r="A148" s="1" t="s">
        <v>310</v>
      </c>
      <c r="B148" s="1" t="s">
        <v>311</v>
      </c>
      <c r="C148" s="22">
        <v>4848.12</v>
      </c>
      <c r="D148" s="22">
        <v>0</v>
      </c>
      <c r="E148" s="22">
        <f t="shared" si="2"/>
        <v>4848.12</v>
      </c>
      <c r="J148" s="40"/>
    </row>
    <row r="149" spans="1:10" x14ac:dyDescent="0.25">
      <c r="A149" s="1" t="s">
        <v>312</v>
      </c>
      <c r="B149" s="1" t="s">
        <v>313</v>
      </c>
      <c r="C149" s="22">
        <v>6718.13</v>
      </c>
      <c r="D149" s="22">
        <v>0</v>
      </c>
      <c r="E149" s="22">
        <f t="shared" si="2"/>
        <v>6718.13</v>
      </c>
      <c r="J149" s="40"/>
    </row>
    <row r="150" spans="1:10" x14ac:dyDescent="0.25">
      <c r="A150" s="1" t="s">
        <v>314</v>
      </c>
      <c r="B150" s="1" t="s">
        <v>315</v>
      </c>
      <c r="C150" s="22">
        <v>0</v>
      </c>
      <c r="D150" s="22">
        <v>0</v>
      </c>
      <c r="E150" s="22">
        <f t="shared" si="2"/>
        <v>0</v>
      </c>
      <c r="J150" s="40"/>
    </row>
    <row r="151" spans="1:10" x14ac:dyDescent="0.25">
      <c r="A151" s="1" t="s">
        <v>316</v>
      </c>
      <c r="B151" s="1" t="s">
        <v>317</v>
      </c>
      <c r="C151" s="22">
        <v>0</v>
      </c>
      <c r="D151" s="22">
        <v>0</v>
      </c>
      <c r="E151" s="22">
        <f t="shared" si="2"/>
        <v>0</v>
      </c>
      <c r="J151" s="40"/>
    </row>
    <row r="152" spans="1:10" x14ac:dyDescent="0.25">
      <c r="A152" s="1" t="s">
        <v>318</v>
      </c>
      <c r="B152" s="1" t="s">
        <v>319</v>
      </c>
      <c r="C152" s="22">
        <v>0</v>
      </c>
      <c r="D152" s="22">
        <v>0</v>
      </c>
      <c r="E152" s="22">
        <f t="shared" si="2"/>
        <v>0</v>
      </c>
      <c r="J152" s="40"/>
    </row>
    <row r="153" spans="1:10" x14ac:dyDescent="0.25">
      <c r="A153" s="1" t="s">
        <v>320</v>
      </c>
      <c r="B153" s="1" t="s">
        <v>244</v>
      </c>
      <c r="C153" s="22">
        <v>0</v>
      </c>
      <c r="D153" s="22">
        <v>0</v>
      </c>
      <c r="E153" s="22">
        <f t="shared" si="2"/>
        <v>0</v>
      </c>
      <c r="J153" s="40"/>
    </row>
    <row r="154" spans="1:10" x14ac:dyDescent="0.25">
      <c r="A154" s="1" t="s">
        <v>321</v>
      </c>
      <c r="B154" s="1" t="s">
        <v>322</v>
      </c>
      <c r="C154" s="22">
        <v>0</v>
      </c>
      <c r="D154" s="22">
        <v>0</v>
      </c>
      <c r="E154" s="22">
        <f t="shared" si="2"/>
        <v>0</v>
      </c>
      <c r="J154" s="40"/>
    </row>
    <row r="155" spans="1:10" x14ac:dyDescent="0.25">
      <c r="A155" s="1" t="s">
        <v>323</v>
      </c>
      <c r="B155" s="1" t="s">
        <v>240</v>
      </c>
      <c r="C155" s="22">
        <v>0</v>
      </c>
      <c r="D155" s="22">
        <v>0</v>
      </c>
      <c r="E155" s="22">
        <f t="shared" si="2"/>
        <v>0</v>
      </c>
      <c r="J155" s="40"/>
    </row>
    <row r="156" spans="1:10" x14ac:dyDescent="0.25">
      <c r="A156" s="1" t="s">
        <v>324</v>
      </c>
      <c r="B156" s="1" t="s">
        <v>325</v>
      </c>
      <c r="C156" s="22">
        <v>0</v>
      </c>
      <c r="D156" s="22">
        <v>0</v>
      </c>
      <c r="E156" s="22">
        <f t="shared" si="2"/>
        <v>0</v>
      </c>
      <c r="J156" s="40"/>
    </row>
    <row r="157" spans="1:10" x14ac:dyDescent="0.25">
      <c r="A157" s="1" t="s">
        <v>326</v>
      </c>
      <c r="B157" s="1" t="s">
        <v>327</v>
      </c>
      <c r="C157" s="22">
        <v>6189.78</v>
      </c>
      <c r="D157" s="22">
        <v>0</v>
      </c>
      <c r="E157" s="22">
        <f t="shared" si="2"/>
        <v>6189.78</v>
      </c>
      <c r="J157" s="40"/>
    </row>
    <row r="158" spans="1:10" x14ac:dyDescent="0.25">
      <c r="A158" s="1" t="s">
        <v>328</v>
      </c>
      <c r="B158" s="1" t="s">
        <v>329</v>
      </c>
      <c r="C158" s="22">
        <v>159.57</v>
      </c>
      <c r="D158" s="22">
        <v>0</v>
      </c>
      <c r="E158" s="22">
        <f t="shared" si="2"/>
        <v>159.57</v>
      </c>
      <c r="J158" s="40"/>
    </row>
    <row r="159" spans="1:10" x14ac:dyDescent="0.25">
      <c r="A159" s="1" t="s">
        <v>330</v>
      </c>
      <c r="B159" s="1" t="s">
        <v>331</v>
      </c>
      <c r="C159" s="22">
        <v>6870.67</v>
      </c>
      <c r="D159" s="22">
        <v>0</v>
      </c>
      <c r="E159" s="22">
        <f t="shared" si="2"/>
        <v>6870.67</v>
      </c>
      <c r="J159" s="40"/>
    </row>
    <row r="160" spans="1:10" x14ac:dyDescent="0.25">
      <c r="A160" s="1" t="s">
        <v>332</v>
      </c>
      <c r="B160" s="1" t="s">
        <v>333</v>
      </c>
      <c r="C160" s="22">
        <v>0</v>
      </c>
      <c r="D160" s="22">
        <v>0</v>
      </c>
      <c r="E160" s="22">
        <f t="shared" si="2"/>
        <v>0</v>
      </c>
      <c r="J160" s="40"/>
    </row>
    <row r="161" spans="1:13" x14ac:dyDescent="0.25">
      <c r="A161" s="1" t="s">
        <v>334</v>
      </c>
      <c r="B161" s="1" t="s">
        <v>335</v>
      </c>
      <c r="C161" s="22">
        <v>674.79</v>
      </c>
      <c r="D161" s="22">
        <v>0</v>
      </c>
      <c r="E161" s="22">
        <f t="shared" si="2"/>
        <v>674.79</v>
      </c>
      <c r="J161" s="40"/>
    </row>
    <row r="162" spans="1:13" x14ac:dyDescent="0.25">
      <c r="A162" s="1" t="s">
        <v>336</v>
      </c>
      <c r="B162" s="1" t="s">
        <v>1174</v>
      </c>
      <c r="C162" s="22">
        <v>3361.38</v>
      </c>
      <c r="D162" s="22">
        <v>0</v>
      </c>
      <c r="E162" s="22">
        <f t="shared" si="2"/>
        <v>3361.38</v>
      </c>
      <c r="J162" s="40"/>
    </row>
    <row r="163" spans="1:13" x14ac:dyDescent="0.25">
      <c r="A163" s="1" t="s">
        <v>338</v>
      </c>
      <c r="B163" s="1" t="s">
        <v>339</v>
      </c>
      <c r="C163" s="22">
        <v>0</v>
      </c>
      <c r="D163" s="22">
        <v>0</v>
      </c>
      <c r="E163" s="22">
        <f t="shared" si="2"/>
        <v>0</v>
      </c>
      <c r="J163" s="40"/>
    </row>
    <row r="164" spans="1:13" x14ac:dyDescent="0.25">
      <c r="A164" s="1" t="s">
        <v>340</v>
      </c>
      <c r="B164" s="1" t="s">
        <v>43</v>
      </c>
      <c r="C164" s="22">
        <v>46515.5</v>
      </c>
      <c r="D164" s="22">
        <v>0</v>
      </c>
      <c r="E164" s="22">
        <f t="shared" si="2"/>
        <v>46515.5</v>
      </c>
      <c r="J164" s="40"/>
    </row>
    <row r="165" spans="1:13" x14ac:dyDescent="0.25">
      <c r="A165" s="1" t="s">
        <v>341</v>
      </c>
      <c r="B165" s="1" t="s">
        <v>342</v>
      </c>
      <c r="C165" s="22">
        <v>0</v>
      </c>
      <c r="D165" s="22">
        <v>0</v>
      </c>
      <c r="E165" s="22">
        <f t="shared" si="2"/>
        <v>0</v>
      </c>
      <c r="J165" s="40"/>
    </row>
    <row r="166" spans="1:13" x14ac:dyDescent="0.25">
      <c r="A166" s="1" t="s">
        <v>343</v>
      </c>
      <c r="B166" s="1" t="s">
        <v>344</v>
      </c>
      <c r="C166" s="22">
        <v>0</v>
      </c>
      <c r="D166" s="22">
        <v>0</v>
      </c>
      <c r="E166" s="22">
        <f t="shared" si="2"/>
        <v>0</v>
      </c>
      <c r="J166" s="40"/>
    </row>
    <row r="167" spans="1:13" x14ac:dyDescent="0.25">
      <c r="A167" s="1" t="s">
        <v>345</v>
      </c>
      <c r="B167" s="1" t="s">
        <v>346</v>
      </c>
      <c r="C167" s="22">
        <v>0</v>
      </c>
      <c r="D167" s="22">
        <v>0</v>
      </c>
      <c r="E167" s="22">
        <f t="shared" si="2"/>
        <v>0</v>
      </c>
      <c r="J167" s="40"/>
    </row>
    <row r="168" spans="1:13" x14ac:dyDescent="0.25">
      <c r="A168" s="1" t="s">
        <v>347</v>
      </c>
      <c r="B168" s="1" t="s">
        <v>348</v>
      </c>
      <c r="C168" s="22">
        <v>5036.1099999999997</v>
      </c>
      <c r="D168" s="22">
        <v>0</v>
      </c>
      <c r="E168" s="22">
        <f t="shared" si="2"/>
        <v>5036.1099999999997</v>
      </c>
      <c r="J168" s="40"/>
    </row>
    <row r="169" spans="1:13" x14ac:dyDescent="0.25">
      <c r="A169" s="1" t="s">
        <v>349</v>
      </c>
      <c r="B169" s="1" t="s">
        <v>350</v>
      </c>
      <c r="C169" s="22">
        <v>19187.28</v>
      </c>
      <c r="D169" s="22">
        <v>0</v>
      </c>
      <c r="E169" s="22">
        <f t="shared" si="2"/>
        <v>19187.28</v>
      </c>
      <c r="J169" s="40"/>
    </row>
    <row r="170" spans="1:13" x14ac:dyDescent="0.25">
      <c r="A170" s="1" t="s">
        <v>351</v>
      </c>
      <c r="B170" s="1" t="s">
        <v>164</v>
      </c>
      <c r="C170" s="22">
        <v>0</v>
      </c>
      <c r="D170" s="22">
        <v>0</v>
      </c>
      <c r="E170" s="22">
        <f t="shared" si="2"/>
        <v>0</v>
      </c>
      <c r="J170" s="40"/>
    </row>
    <row r="171" spans="1:13" x14ac:dyDescent="0.25">
      <c r="A171" s="40" t="s">
        <v>352</v>
      </c>
      <c r="B171" s="40" t="s">
        <v>49</v>
      </c>
      <c r="C171" s="25">
        <v>0</v>
      </c>
      <c r="D171" s="25">
        <v>0</v>
      </c>
      <c r="E171" s="25">
        <f t="shared" si="2"/>
        <v>0</v>
      </c>
      <c r="F171" s="40"/>
      <c r="G171" s="40"/>
      <c r="H171" s="40"/>
      <c r="I171" s="40"/>
      <c r="J171" s="40"/>
      <c r="K171" s="40"/>
      <c r="L171" s="40"/>
      <c r="M171" s="40"/>
    </row>
    <row r="172" spans="1:13" x14ac:dyDescent="0.25">
      <c r="A172" s="40" t="s">
        <v>353</v>
      </c>
      <c r="B172" s="40" t="s">
        <v>54</v>
      </c>
      <c r="C172" s="25">
        <v>0</v>
      </c>
      <c r="D172" s="25">
        <v>0</v>
      </c>
      <c r="E172" s="25">
        <f t="shared" si="2"/>
        <v>0</v>
      </c>
      <c r="F172" s="40"/>
      <c r="G172" s="40"/>
      <c r="H172" s="40"/>
      <c r="I172" s="40"/>
      <c r="J172" s="40"/>
      <c r="K172" s="40"/>
      <c r="L172" s="40"/>
      <c r="M172" s="40"/>
    </row>
    <row r="173" spans="1:13" x14ac:dyDescent="0.25">
      <c r="A173" s="40" t="s">
        <v>354</v>
      </c>
      <c r="B173" s="40" t="s">
        <v>355</v>
      </c>
      <c r="C173" s="25">
        <v>0</v>
      </c>
      <c r="D173" s="25">
        <v>0</v>
      </c>
      <c r="E173" s="25">
        <f t="shared" si="2"/>
        <v>0</v>
      </c>
      <c r="F173" s="40"/>
      <c r="G173" s="40"/>
      <c r="H173" s="40"/>
      <c r="I173" s="40"/>
      <c r="J173" s="40"/>
      <c r="K173" s="40"/>
      <c r="L173" s="40"/>
      <c r="M173" s="40"/>
    </row>
    <row r="174" spans="1:13" x14ac:dyDescent="0.25">
      <c r="A174" s="40" t="s">
        <v>356</v>
      </c>
      <c r="B174" s="40" t="s">
        <v>357</v>
      </c>
      <c r="C174" s="25">
        <v>0</v>
      </c>
      <c r="D174" s="25">
        <v>0</v>
      </c>
      <c r="E174" s="25">
        <f t="shared" si="2"/>
        <v>0</v>
      </c>
      <c r="F174" s="40"/>
      <c r="G174" s="40"/>
      <c r="H174" s="40"/>
      <c r="I174" s="40"/>
      <c r="J174" s="40"/>
      <c r="K174" s="40"/>
      <c r="L174" s="40"/>
      <c r="M174" s="40"/>
    </row>
    <row r="175" spans="1:13" x14ac:dyDescent="0.25">
      <c r="A175" s="40" t="s">
        <v>358</v>
      </c>
      <c r="B175" s="40" t="s">
        <v>359</v>
      </c>
      <c r="C175" s="25">
        <v>0</v>
      </c>
      <c r="D175" s="25">
        <v>0</v>
      </c>
      <c r="E175" s="25">
        <f t="shared" si="2"/>
        <v>0</v>
      </c>
      <c r="F175" s="40"/>
      <c r="G175" s="40"/>
      <c r="H175" s="40"/>
      <c r="I175" s="40"/>
      <c r="J175" s="40"/>
      <c r="K175" s="40"/>
      <c r="L175" s="40"/>
      <c r="M175" s="40"/>
    </row>
    <row r="176" spans="1:13" x14ac:dyDescent="0.25">
      <c r="A176" s="40" t="s">
        <v>360</v>
      </c>
      <c r="B176" s="40" t="s">
        <v>70</v>
      </c>
      <c r="C176" s="25">
        <v>0</v>
      </c>
      <c r="D176" s="25">
        <v>0</v>
      </c>
      <c r="E176" s="25">
        <f t="shared" si="2"/>
        <v>0</v>
      </c>
      <c r="F176" s="40"/>
      <c r="G176" s="40"/>
      <c r="H176" s="40"/>
      <c r="I176" s="40"/>
      <c r="J176" s="40"/>
      <c r="K176" s="40"/>
      <c r="L176" s="40"/>
      <c r="M176" s="40"/>
    </row>
    <row r="177" spans="1:13" x14ac:dyDescent="0.25">
      <c r="A177" s="40" t="s">
        <v>361</v>
      </c>
      <c r="B177" s="40" t="s">
        <v>73</v>
      </c>
      <c r="C177" s="25">
        <v>0</v>
      </c>
      <c r="D177" s="25">
        <v>0</v>
      </c>
      <c r="E177" s="25">
        <f t="shared" si="2"/>
        <v>0</v>
      </c>
      <c r="F177" s="40"/>
      <c r="G177" s="40"/>
      <c r="H177" s="40"/>
      <c r="I177" s="40"/>
      <c r="J177" s="40"/>
      <c r="K177" s="40"/>
      <c r="L177" s="40"/>
      <c r="M177" s="40"/>
    </row>
    <row r="178" spans="1:13" x14ac:dyDescent="0.25">
      <c r="A178" s="40" t="s">
        <v>362</v>
      </c>
      <c r="B178" s="40" t="s">
        <v>75</v>
      </c>
      <c r="C178" s="25">
        <v>0</v>
      </c>
      <c r="D178" s="25">
        <v>0</v>
      </c>
      <c r="E178" s="25">
        <f t="shared" si="2"/>
        <v>0</v>
      </c>
      <c r="F178" s="40"/>
      <c r="G178" s="40"/>
      <c r="H178" s="40"/>
      <c r="I178" s="40"/>
      <c r="J178" s="40"/>
      <c r="K178" s="40"/>
      <c r="L178" s="40"/>
      <c r="M178" s="40"/>
    </row>
    <row r="179" spans="1:13" x14ac:dyDescent="0.25">
      <c r="A179" s="40" t="s">
        <v>363</v>
      </c>
      <c r="B179" s="40" t="s">
        <v>77</v>
      </c>
      <c r="C179" s="25">
        <v>0</v>
      </c>
      <c r="D179" s="25">
        <v>0</v>
      </c>
      <c r="E179" s="25">
        <f t="shared" si="2"/>
        <v>0</v>
      </c>
      <c r="F179" s="40"/>
      <c r="G179" s="40"/>
      <c r="H179" s="40"/>
      <c r="I179" s="40"/>
      <c r="J179" s="40"/>
      <c r="K179" s="40"/>
      <c r="L179" s="40"/>
      <c r="M179" s="40"/>
    </row>
    <row r="180" spans="1:13" x14ac:dyDescent="0.25">
      <c r="A180" s="40" t="s">
        <v>364</v>
      </c>
      <c r="B180" s="40" t="s">
        <v>85</v>
      </c>
      <c r="C180" s="25">
        <v>0</v>
      </c>
      <c r="D180" s="25">
        <v>0</v>
      </c>
      <c r="E180" s="25">
        <f t="shared" si="2"/>
        <v>0</v>
      </c>
      <c r="F180" s="40"/>
      <c r="G180" s="40"/>
      <c r="H180" s="40"/>
      <c r="I180" s="40"/>
      <c r="J180" s="40"/>
      <c r="K180" s="40"/>
      <c r="L180" s="40"/>
      <c r="M180" s="40"/>
    </row>
    <row r="181" spans="1:13" x14ac:dyDescent="0.25">
      <c r="A181" s="40" t="s">
        <v>365</v>
      </c>
      <c r="B181" s="40" t="s">
        <v>244</v>
      </c>
      <c r="C181" s="25">
        <v>0</v>
      </c>
      <c r="D181" s="25">
        <v>0</v>
      </c>
      <c r="E181" s="25">
        <f t="shared" si="2"/>
        <v>0</v>
      </c>
      <c r="F181" s="40"/>
      <c r="G181" s="40"/>
      <c r="H181" s="40"/>
      <c r="I181" s="40"/>
      <c r="J181" s="40"/>
      <c r="K181" s="40"/>
      <c r="L181" s="40"/>
      <c r="M181" s="40"/>
    </row>
    <row r="182" spans="1:13" x14ac:dyDescent="0.25">
      <c r="A182" s="40" t="s">
        <v>366</v>
      </c>
      <c r="B182" s="40" t="s">
        <v>235</v>
      </c>
      <c r="C182" s="25">
        <v>0</v>
      </c>
      <c r="D182" s="25">
        <v>0</v>
      </c>
      <c r="E182" s="25">
        <f t="shared" si="2"/>
        <v>0</v>
      </c>
      <c r="F182" s="40"/>
      <c r="G182" s="40"/>
      <c r="H182" s="40"/>
      <c r="I182" s="40"/>
      <c r="J182" s="40"/>
      <c r="K182" s="40"/>
      <c r="L182" s="40"/>
      <c r="M182" s="40"/>
    </row>
    <row r="183" spans="1:13" x14ac:dyDescent="0.25">
      <c r="A183" s="40" t="s">
        <v>367</v>
      </c>
      <c r="B183" s="40" t="s">
        <v>368</v>
      </c>
      <c r="C183" s="25">
        <v>0</v>
      </c>
      <c r="D183" s="25">
        <v>0</v>
      </c>
      <c r="E183" s="25">
        <f t="shared" si="2"/>
        <v>0</v>
      </c>
      <c r="F183" s="40"/>
      <c r="G183" s="40"/>
      <c r="H183" s="40"/>
      <c r="I183" s="40"/>
      <c r="J183" s="40"/>
      <c r="K183" s="40"/>
      <c r="L183" s="40"/>
      <c r="M183" s="40"/>
    </row>
    <row r="184" spans="1:13" x14ac:dyDescent="0.25">
      <c r="A184" s="40" t="s">
        <v>369</v>
      </c>
      <c r="B184" s="40" t="s">
        <v>254</v>
      </c>
      <c r="C184" s="25">
        <v>0</v>
      </c>
      <c r="D184" s="25">
        <v>0</v>
      </c>
      <c r="E184" s="25">
        <f t="shared" si="2"/>
        <v>0</v>
      </c>
      <c r="F184" s="40"/>
      <c r="G184" s="40"/>
      <c r="H184" s="40"/>
      <c r="I184" s="40"/>
      <c r="J184" s="40"/>
      <c r="K184" s="40"/>
      <c r="L184" s="40"/>
      <c r="M184" s="40"/>
    </row>
    <row r="185" spans="1:13" x14ac:dyDescent="0.25">
      <c r="A185" s="40" t="s">
        <v>370</v>
      </c>
      <c r="B185" s="40" t="s">
        <v>371</v>
      </c>
      <c r="C185" s="25">
        <v>0</v>
      </c>
      <c r="D185" s="25">
        <v>0</v>
      </c>
      <c r="E185" s="25">
        <f t="shared" si="2"/>
        <v>0</v>
      </c>
      <c r="F185" s="40"/>
      <c r="G185" s="40"/>
      <c r="H185" s="40"/>
      <c r="I185" s="40"/>
      <c r="J185" s="40"/>
      <c r="K185" s="40"/>
      <c r="L185" s="40"/>
      <c r="M185" s="40"/>
    </row>
    <row r="186" spans="1:13" x14ac:dyDescent="0.25">
      <c r="A186" s="40" t="s">
        <v>372</v>
      </c>
      <c r="B186" s="40" t="s">
        <v>261</v>
      </c>
      <c r="C186" s="25">
        <v>0</v>
      </c>
      <c r="D186" s="25">
        <v>0</v>
      </c>
      <c r="E186" s="25">
        <f t="shared" si="2"/>
        <v>0</v>
      </c>
      <c r="F186" s="40"/>
      <c r="G186" s="40"/>
      <c r="H186" s="40"/>
      <c r="I186" s="40"/>
      <c r="J186" s="40"/>
      <c r="K186" s="40"/>
      <c r="L186" s="40"/>
      <c r="M186" s="40"/>
    </row>
    <row r="187" spans="1:13" x14ac:dyDescent="0.25">
      <c r="A187" s="40" t="s">
        <v>373</v>
      </c>
      <c r="B187" s="40" t="s">
        <v>267</v>
      </c>
      <c r="C187" s="25">
        <v>0</v>
      </c>
      <c r="D187" s="25">
        <v>0</v>
      </c>
      <c r="E187" s="25">
        <f t="shared" si="2"/>
        <v>0</v>
      </c>
      <c r="F187" s="40"/>
      <c r="G187" s="40"/>
      <c r="H187" s="40"/>
      <c r="I187" s="40"/>
      <c r="J187" s="40"/>
      <c r="K187" s="40"/>
      <c r="L187" s="40"/>
      <c r="M187" s="40"/>
    </row>
    <row r="188" spans="1:13" x14ac:dyDescent="0.25">
      <c r="A188" s="40" t="s">
        <v>374</v>
      </c>
      <c r="B188" s="40" t="s">
        <v>101</v>
      </c>
      <c r="C188" s="25">
        <v>0</v>
      </c>
      <c r="D188" s="25">
        <v>0</v>
      </c>
      <c r="E188" s="25">
        <f t="shared" si="2"/>
        <v>0</v>
      </c>
      <c r="F188" s="40"/>
      <c r="G188" s="40"/>
      <c r="H188" s="40"/>
      <c r="I188" s="40"/>
      <c r="J188" s="40"/>
      <c r="K188" s="40"/>
      <c r="L188" s="40"/>
      <c r="M188" s="40"/>
    </row>
    <row r="189" spans="1:13" x14ac:dyDescent="0.25">
      <c r="A189" s="40" t="s">
        <v>375</v>
      </c>
      <c r="B189" s="40" t="s">
        <v>104</v>
      </c>
      <c r="C189" s="25">
        <v>0</v>
      </c>
      <c r="D189" s="25">
        <v>0</v>
      </c>
      <c r="E189" s="25">
        <f t="shared" si="2"/>
        <v>0</v>
      </c>
      <c r="F189" s="40"/>
      <c r="G189" s="40"/>
      <c r="H189" s="40"/>
      <c r="I189" s="40"/>
      <c r="J189" s="40"/>
      <c r="K189" s="40"/>
      <c r="L189" s="40"/>
      <c r="M189" s="40"/>
    </row>
    <row r="190" spans="1:13" x14ac:dyDescent="0.25">
      <c r="A190" s="40" t="s">
        <v>376</v>
      </c>
      <c r="B190" s="40" t="s">
        <v>106</v>
      </c>
      <c r="C190" s="25">
        <v>0</v>
      </c>
      <c r="D190" s="25">
        <v>0</v>
      </c>
      <c r="E190" s="25">
        <f t="shared" si="2"/>
        <v>0</v>
      </c>
      <c r="F190" s="40"/>
      <c r="G190" s="40"/>
      <c r="H190" s="40"/>
      <c r="I190" s="40"/>
      <c r="J190" s="40"/>
      <c r="K190" s="40"/>
      <c r="L190" s="40"/>
      <c r="M190" s="40"/>
    </row>
    <row r="191" spans="1:13" x14ac:dyDescent="0.25">
      <c r="A191" s="40" t="s">
        <v>377</v>
      </c>
      <c r="B191" s="40" t="s">
        <v>110</v>
      </c>
      <c r="C191" s="25">
        <v>0</v>
      </c>
      <c r="D191" s="25">
        <v>0</v>
      </c>
      <c r="E191" s="25">
        <f t="shared" si="2"/>
        <v>0</v>
      </c>
      <c r="F191" s="40"/>
      <c r="G191" s="40"/>
      <c r="H191" s="40"/>
      <c r="I191" s="40"/>
      <c r="J191" s="40"/>
      <c r="K191" s="40"/>
      <c r="L191" s="40"/>
      <c r="M191" s="40"/>
    </row>
    <row r="192" spans="1:13" x14ac:dyDescent="0.25">
      <c r="A192" s="40" t="s">
        <v>378</v>
      </c>
      <c r="B192" s="40" t="s">
        <v>379</v>
      </c>
      <c r="C192" s="25">
        <v>0</v>
      </c>
      <c r="D192" s="25">
        <v>0</v>
      </c>
      <c r="E192" s="25">
        <f t="shared" si="2"/>
        <v>0</v>
      </c>
      <c r="F192" s="40"/>
      <c r="G192" s="40"/>
      <c r="H192" s="40"/>
      <c r="I192" s="40"/>
      <c r="J192" s="40"/>
      <c r="K192" s="40"/>
      <c r="L192" s="40"/>
      <c r="M192" s="40"/>
    </row>
    <row r="193" spans="1:13" x14ac:dyDescent="0.25">
      <c r="A193" s="40" t="s">
        <v>380</v>
      </c>
      <c r="B193" s="40" t="s">
        <v>381</v>
      </c>
      <c r="C193" s="25">
        <v>0</v>
      </c>
      <c r="D193" s="25">
        <v>0</v>
      </c>
      <c r="E193" s="25">
        <f t="shared" si="2"/>
        <v>0</v>
      </c>
      <c r="F193" s="40"/>
      <c r="G193" s="40"/>
      <c r="H193" s="40"/>
      <c r="I193" s="40"/>
      <c r="J193" s="40"/>
      <c r="K193" s="40"/>
      <c r="L193" s="40"/>
      <c r="M193" s="40"/>
    </row>
    <row r="194" spans="1:13" x14ac:dyDescent="0.25">
      <c r="A194" s="40" t="s">
        <v>382</v>
      </c>
      <c r="B194" s="40" t="s">
        <v>303</v>
      </c>
      <c r="C194" s="25">
        <v>0</v>
      </c>
      <c r="D194" s="25">
        <v>0</v>
      </c>
      <c r="E194" s="25">
        <f t="shared" si="2"/>
        <v>0</v>
      </c>
      <c r="F194" s="40"/>
      <c r="G194" s="40"/>
      <c r="H194" s="40"/>
      <c r="I194" s="40"/>
      <c r="J194" s="40"/>
      <c r="K194" s="40"/>
      <c r="L194" s="40"/>
      <c r="M194" s="40"/>
    </row>
    <row r="195" spans="1:13" x14ac:dyDescent="0.25">
      <c r="A195" s="40" t="s">
        <v>383</v>
      </c>
      <c r="B195" s="40" t="s">
        <v>384</v>
      </c>
      <c r="C195" s="25">
        <v>0</v>
      </c>
      <c r="D195" s="25">
        <v>0</v>
      </c>
      <c r="E195" s="25">
        <f t="shared" si="2"/>
        <v>0</v>
      </c>
      <c r="F195" s="40"/>
      <c r="G195" s="40"/>
      <c r="H195" s="40"/>
      <c r="I195" s="40"/>
      <c r="J195" s="40"/>
      <c r="K195" s="40"/>
      <c r="L195" s="40"/>
      <c r="M195" s="40"/>
    </row>
    <row r="196" spans="1:13" x14ac:dyDescent="0.25">
      <c r="A196" s="40" t="s">
        <v>385</v>
      </c>
      <c r="B196" s="40" t="s">
        <v>386</v>
      </c>
      <c r="C196" s="25">
        <v>0</v>
      </c>
      <c r="D196" s="25">
        <v>0</v>
      </c>
      <c r="E196" s="25">
        <f t="shared" si="2"/>
        <v>0</v>
      </c>
      <c r="F196" s="40"/>
      <c r="G196" s="40"/>
      <c r="H196" s="40"/>
      <c r="I196" s="40"/>
      <c r="J196" s="40"/>
      <c r="K196" s="40"/>
      <c r="L196" s="40"/>
      <c r="M196" s="40"/>
    </row>
    <row r="197" spans="1:13" x14ac:dyDescent="0.25">
      <c r="A197" s="40" t="s">
        <v>387</v>
      </c>
      <c r="B197" s="40" t="s">
        <v>388</v>
      </c>
      <c r="C197" s="25">
        <v>0</v>
      </c>
      <c r="D197" s="25">
        <v>0</v>
      </c>
      <c r="E197" s="25">
        <f t="shared" si="2"/>
        <v>0</v>
      </c>
      <c r="F197" s="40"/>
      <c r="G197" s="40"/>
      <c r="H197" s="40"/>
      <c r="I197" s="40"/>
      <c r="J197" s="40"/>
      <c r="K197" s="40"/>
      <c r="L197" s="40"/>
      <c r="M197" s="40"/>
    </row>
    <row r="198" spans="1:13" x14ac:dyDescent="0.25">
      <c r="A198" s="40" t="s">
        <v>389</v>
      </c>
      <c r="B198" s="40" t="s">
        <v>390</v>
      </c>
      <c r="C198" s="25">
        <v>0</v>
      </c>
      <c r="D198" s="25">
        <v>0</v>
      </c>
      <c r="E198" s="25">
        <f t="shared" ref="E198:E261" si="3">SUM(C198:D198)</f>
        <v>0</v>
      </c>
      <c r="F198" s="40"/>
      <c r="G198" s="40"/>
      <c r="H198" s="40"/>
      <c r="I198" s="40"/>
      <c r="J198" s="40"/>
      <c r="K198" s="40"/>
      <c r="L198" s="40"/>
      <c r="M198" s="40"/>
    </row>
    <row r="199" spans="1:13" x14ac:dyDescent="0.25">
      <c r="A199" s="40" t="s">
        <v>391</v>
      </c>
      <c r="B199" s="40" t="s">
        <v>392</v>
      </c>
      <c r="C199" s="25">
        <v>0</v>
      </c>
      <c r="D199" s="25">
        <v>0</v>
      </c>
      <c r="E199" s="25">
        <f t="shared" si="3"/>
        <v>0</v>
      </c>
      <c r="F199" s="40"/>
      <c r="G199" s="40"/>
      <c r="H199" s="40"/>
      <c r="I199" s="40"/>
      <c r="J199" s="40"/>
      <c r="K199" s="40"/>
      <c r="L199" s="40"/>
      <c r="M199" s="40"/>
    </row>
    <row r="200" spans="1:13" x14ac:dyDescent="0.25">
      <c r="A200" s="40" t="s">
        <v>393</v>
      </c>
      <c r="B200" s="40" t="s">
        <v>244</v>
      </c>
      <c r="C200" s="25">
        <v>0</v>
      </c>
      <c r="D200" s="25">
        <v>0</v>
      </c>
      <c r="E200" s="25">
        <f t="shared" si="3"/>
        <v>0</v>
      </c>
      <c r="F200" s="40"/>
      <c r="G200" s="40"/>
      <c r="H200" s="40"/>
      <c r="I200" s="40"/>
      <c r="J200" s="40"/>
      <c r="K200" s="40"/>
      <c r="L200" s="40"/>
      <c r="M200" s="40"/>
    </row>
    <row r="201" spans="1:13" x14ac:dyDescent="0.25">
      <c r="A201" s="40" t="s">
        <v>394</v>
      </c>
      <c r="B201" s="40" t="s">
        <v>158</v>
      </c>
      <c r="C201" s="25">
        <v>0</v>
      </c>
      <c r="D201" s="25">
        <v>0</v>
      </c>
      <c r="E201" s="25">
        <f t="shared" si="3"/>
        <v>0</v>
      </c>
      <c r="F201" s="40"/>
      <c r="G201" s="40"/>
      <c r="H201" s="40"/>
      <c r="I201" s="40"/>
      <c r="J201" s="40"/>
      <c r="K201" s="40"/>
      <c r="L201" s="40"/>
      <c r="M201" s="40"/>
    </row>
    <row r="202" spans="1:13" x14ac:dyDescent="0.25">
      <c r="A202" s="40" t="s">
        <v>395</v>
      </c>
      <c r="B202" s="40" t="s">
        <v>331</v>
      </c>
      <c r="C202" s="25">
        <v>0</v>
      </c>
      <c r="D202" s="25">
        <v>0</v>
      </c>
      <c r="E202" s="25">
        <f t="shared" si="3"/>
        <v>0</v>
      </c>
      <c r="F202" s="40"/>
      <c r="G202" s="40"/>
      <c r="H202" s="40"/>
      <c r="I202" s="40"/>
      <c r="J202" s="40"/>
      <c r="K202" s="40"/>
      <c r="L202" s="40"/>
      <c r="M202" s="40"/>
    </row>
    <row r="203" spans="1:13" x14ac:dyDescent="0.25">
      <c r="A203" s="40" t="s">
        <v>396</v>
      </c>
      <c r="B203" s="40" t="s">
        <v>397</v>
      </c>
      <c r="C203" s="25">
        <v>0</v>
      </c>
      <c r="D203" s="25">
        <v>0</v>
      </c>
      <c r="E203" s="25">
        <f t="shared" si="3"/>
        <v>0</v>
      </c>
      <c r="F203" s="40"/>
      <c r="G203" s="40"/>
      <c r="H203" s="40"/>
      <c r="I203" s="40"/>
      <c r="J203" s="40"/>
      <c r="K203" s="40"/>
      <c r="L203" s="40"/>
      <c r="M203" s="40"/>
    </row>
    <row r="204" spans="1:13" x14ac:dyDescent="0.25">
      <c r="A204" s="40" t="s">
        <v>398</v>
      </c>
      <c r="B204" s="40" t="s">
        <v>344</v>
      </c>
      <c r="C204" s="25">
        <v>0</v>
      </c>
      <c r="D204" s="25">
        <v>0</v>
      </c>
      <c r="E204" s="25">
        <f t="shared" si="3"/>
        <v>0</v>
      </c>
      <c r="F204" s="40"/>
      <c r="G204" s="40"/>
      <c r="H204" s="40"/>
      <c r="I204" s="40"/>
      <c r="J204" s="40"/>
      <c r="K204" s="40"/>
      <c r="L204" s="40"/>
      <c r="M204" s="40"/>
    </row>
    <row r="205" spans="1:13" x14ac:dyDescent="0.25">
      <c r="A205" s="40" t="s">
        <v>399</v>
      </c>
      <c r="B205" s="40" t="s">
        <v>164</v>
      </c>
      <c r="C205" s="25">
        <v>0</v>
      </c>
      <c r="D205" s="25">
        <v>0</v>
      </c>
      <c r="E205" s="25">
        <f t="shared" si="3"/>
        <v>0</v>
      </c>
      <c r="F205" s="40"/>
      <c r="G205" s="40"/>
      <c r="H205" s="40"/>
      <c r="I205" s="40"/>
      <c r="J205" s="40"/>
      <c r="K205" s="40"/>
      <c r="L205" s="40"/>
      <c r="M205" s="40"/>
    </row>
    <row r="206" spans="1:13" x14ac:dyDescent="0.25">
      <c r="A206" s="40" t="s">
        <v>400</v>
      </c>
      <c r="B206" s="40" t="s">
        <v>401</v>
      </c>
      <c r="C206" s="25">
        <v>0</v>
      </c>
      <c r="D206" s="25">
        <v>0</v>
      </c>
      <c r="E206" s="25">
        <f t="shared" si="3"/>
        <v>0</v>
      </c>
      <c r="F206" s="40"/>
      <c r="G206" s="40"/>
      <c r="H206" s="40"/>
      <c r="I206" s="40"/>
      <c r="J206" s="40"/>
      <c r="K206" s="40"/>
      <c r="L206" s="40"/>
      <c r="M206" s="40"/>
    </row>
    <row r="207" spans="1:13" x14ac:dyDescent="0.25">
      <c r="A207" s="1" t="s">
        <v>402</v>
      </c>
      <c r="B207" s="1" t="s">
        <v>49</v>
      </c>
      <c r="C207" s="22">
        <v>1090096.98</v>
      </c>
      <c r="D207" s="22">
        <v>0</v>
      </c>
      <c r="E207" s="22">
        <f t="shared" si="3"/>
        <v>1090096.98</v>
      </c>
      <c r="J207" s="40"/>
    </row>
    <row r="208" spans="1:13" x14ac:dyDescent="0.25">
      <c r="A208" s="1" t="s">
        <v>833</v>
      </c>
      <c r="B208" s="1" t="s">
        <v>834</v>
      </c>
      <c r="C208" s="22">
        <v>325847.95</v>
      </c>
      <c r="D208" s="22">
        <v>0</v>
      </c>
      <c r="E208" s="22">
        <f t="shared" si="3"/>
        <v>325847.95</v>
      </c>
      <c r="J208" s="40"/>
    </row>
    <row r="209" spans="1:10" x14ac:dyDescent="0.25">
      <c r="A209" s="1" t="s">
        <v>403</v>
      </c>
      <c r="B209" s="1" t="s">
        <v>404</v>
      </c>
      <c r="C209" s="22">
        <v>0</v>
      </c>
      <c r="D209" s="22">
        <v>0</v>
      </c>
      <c r="E209" s="22">
        <f t="shared" si="3"/>
        <v>0</v>
      </c>
      <c r="J209" s="40"/>
    </row>
    <row r="210" spans="1:10" x14ac:dyDescent="0.25">
      <c r="A210" s="1" t="s">
        <v>405</v>
      </c>
      <c r="B210" s="1" t="s">
        <v>54</v>
      </c>
      <c r="C210" s="22">
        <v>1452498.02</v>
      </c>
      <c r="D210" s="22">
        <v>0</v>
      </c>
      <c r="E210" s="22">
        <f t="shared" si="3"/>
        <v>1452498.02</v>
      </c>
      <c r="J210" s="40"/>
    </row>
    <row r="211" spans="1:10" x14ac:dyDescent="0.25">
      <c r="A211" s="1" t="s">
        <v>406</v>
      </c>
      <c r="B211" s="1" t="s">
        <v>184</v>
      </c>
      <c r="C211" s="22">
        <v>778133</v>
      </c>
      <c r="D211" s="22">
        <v>0</v>
      </c>
      <c r="E211" s="22">
        <f t="shared" si="3"/>
        <v>778133</v>
      </c>
      <c r="J211" s="40"/>
    </row>
    <row r="212" spans="1:10" x14ac:dyDescent="0.25">
      <c r="A212" s="1" t="s">
        <v>407</v>
      </c>
      <c r="B212" s="1" t="s">
        <v>198</v>
      </c>
      <c r="C212" s="22">
        <v>0</v>
      </c>
      <c r="D212" s="22">
        <v>-217888.36</v>
      </c>
      <c r="E212" s="22">
        <f t="shared" si="3"/>
        <v>-217888.36</v>
      </c>
      <c r="J212" s="40"/>
    </row>
    <row r="213" spans="1:10" x14ac:dyDescent="0.25">
      <c r="A213" s="1" t="s">
        <v>408</v>
      </c>
      <c r="B213" s="1" t="s">
        <v>70</v>
      </c>
      <c r="C213" s="22">
        <v>6581.86</v>
      </c>
      <c r="D213" s="22">
        <v>0</v>
      </c>
      <c r="E213" s="22">
        <f t="shared" si="3"/>
        <v>6581.86</v>
      </c>
      <c r="J213" s="40"/>
    </row>
    <row r="214" spans="1:10" x14ac:dyDescent="0.25">
      <c r="A214" s="1" t="s">
        <v>409</v>
      </c>
      <c r="B214" s="1" t="s">
        <v>73</v>
      </c>
      <c r="C214" s="22">
        <v>0</v>
      </c>
      <c r="D214" s="22">
        <v>-38008.03</v>
      </c>
      <c r="E214" s="22">
        <f t="shared" si="3"/>
        <v>-38008.03</v>
      </c>
      <c r="J214" s="40"/>
    </row>
    <row r="215" spans="1:10" x14ac:dyDescent="0.25">
      <c r="A215" s="1" t="s">
        <v>410</v>
      </c>
      <c r="B215" s="1" t="s">
        <v>208</v>
      </c>
      <c r="C215" s="22">
        <v>0</v>
      </c>
      <c r="D215" s="22">
        <v>-11894.23</v>
      </c>
      <c r="E215" s="22">
        <f t="shared" si="3"/>
        <v>-11894.23</v>
      </c>
      <c r="J215" s="40"/>
    </row>
    <row r="216" spans="1:10" x14ac:dyDescent="0.25">
      <c r="A216" s="1" t="s">
        <v>411</v>
      </c>
      <c r="B216" s="1" t="s">
        <v>210</v>
      </c>
      <c r="C216" s="22">
        <v>0</v>
      </c>
      <c r="D216" s="22">
        <v>-2116.2800000000002</v>
      </c>
      <c r="E216" s="22">
        <f t="shared" si="3"/>
        <v>-2116.2800000000002</v>
      </c>
      <c r="J216" s="40"/>
    </row>
    <row r="217" spans="1:10" x14ac:dyDescent="0.25">
      <c r="A217" s="1" t="s">
        <v>835</v>
      </c>
      <c r="B217" s="1" t="s">
        <v>215</v>
      </c>
      <c r="C217" s="22">
        <v>88.08</v>
      </c>
      <c r="D217" s="22">
        <v>0</v>
      </c>
      <c r="E217" s="22">
        <f t="shared" si="3"/>
        <v>88.08</v>
      </c>
      <c r="J217" s="40"/>
    </row>
    <row r="218" spans="1:10" x14ac:dyDescent="0.25">
      <c r="A218" s="1" t="s">
        <v>412</v>
      </c>
      <c r="B218" s="1" t="s">
        <v>217</v>
      </c>
      <c r="C218" s="22">
        <v>79.3</v>
      </c>
      <c r="D218" s="22">
        <v>0</v>
      </c>
      <c r="E218" s="22">
        <f t="shared" si="3"/>
        <v>79.3</v>
      </c>
      <c r="J218" s="40"/>
    </row>
    <row r="219" spans="1:10" x14ac:dyDescent="0.25">
      <c r="A219" s="1" t="s">
        <v>413</v>
      </c>
      <c r="B219" s="1" t="s">
        <v>219</v>
      </c>
      <c r="C219" s="22">
        <v>0</v>
      </c>
      <c r="D219" s="22">
        <v>-130.77000000000001</v>
      </c>
      <c r="E219" s="22">
        <f t="shared" si="3"/>
        <v>-130.77000000000001</v>
      </c>
      <c r="J219" s="40"/>
    </row>
    <row r="220" spans="1:10" x14ac:dyDescent="0.25">
      <c r="A220" s="1" t="s">
        <v>836</v>
      </c>
      <c r="B220" s="1" t="s">
        <v>89</v>
      </c>
      <c r="C220" s="22">
        <v>0</v>
      </c>
      <c r="D220" s="22">
        <v>-5476.31</v>
      </c>
      <c r="E220" s="22">
        <f t="shared" si="3"/>
        <v>-5476.31</v>
      </c>
      <c r="J220" s="40"/>
    </row>
    <row r="221" spans="1:10" x14ac:dyDescent="0.25">
      <c r="A221" s="1" t="s">
        <v>837</v>
      </c>
      <c r="B221" s="1" t="s">
        <v>224</v>
      </c>
      <c r="C221" s="22">
        <v>0</v>
      </c>
      <c r="D221" s="22">
        <v>-7059.79</v>
      </c>
      <c r="E221" s="22">
        <f t="shared" si="3"/>
        <v>-7059.79</v>
      </c>
      <c r="J221" s="40"/>
    </row>
    <row r="222" spans="1:10" x14ac:dyDescent="0.25">
      <c r="A222" s="1" t="s">
        <v>414</v>
      </c>
      <c r="B222" s="1" t="s">
        <v>246</v>
      </c>
      <c r="C222" s="22">
        <v>0</v>
      </c>
      <c r="D222" s="22">
        <v>-2542212.77</v>
      </c>
      <c r="E222" s="22">
        <f t="shared" si="3"/>
        <v>-2542212.77</v>
      </c>
      <c r="J222" s="40"/>
    </row>
    <row r="223" spans="1:10" x14ac:dyDescent="0.25">
      <c r="A223" s="1" t="s">
        <v>415</v>
      </c>
      <c r="B223" s="1" t="s">
        <v>831</v>
      </c>
      <c r="C223" s="22">
        <v>0</v>
      </c>
      <c r="D223" s="22">
        <v>-9909.5499999999993</v>
      </c>
      <c r="E223" s="22">
        <f t="shared" si="3"/>
        <v>-9909.5499999999993</v>
      </c>
      <c r="J223" s="40"/>
    </row>
    <row r="224" spans="1:10" x14ac:dyDescent="0.25">
      <c r="A224" s="1" t="s">
        <v>417</v>
      </c>
      <c r="B224" s="1" t="s">
        <v>418</v>
      </c>
      <c r="C224" s="22">
        <v>0</v>
      </c>
      <c r="D224" s="22">
        <v>-2376214.86</v>
      </c>
      <c r="E224" s="22">
        <f t="shared" si="3"/>
        <v>-2376214.86</v>
      </c>
      <c r="J224" s="40"/>
    </row>
    <row r="225" spans="1:10" x14ac:dyDescent="0.25">
      <c r="A225" s="1" t="s">
        <v>419</v>
      </c>
      <c r="B225" s="1" t="s">
        <v>420</v>
      </c>
      <c r="C225" s="22">
        <v>0</v>
      </c>
      <c r="D225" s="22">
        <v>0</v>
      </c>
      <c r="E225" s="22">
        <f t="shared" si="3"/>
        <v>0</v>
      </c>
      <c r="J225" s="40"/>
    </row>
    <row r="226" spans="1:10" x14ac:dyDescent="0.25">
      <c r="A226" s="1" t="s">
        <v>421</v>
      </c>
      <c r="B226" s="1" t="s">
        <v>99</v>
      </c>
      <c r="C226" s="22">
        <v>0</v>
      </c>
      <c r="D226" s="22">
        <v>0</v>
      </c>
      <c r="E226" s="22">
        <f t="shared" si="3"/>
        <v>0</v>
      </c>
      <c r="J226" s="40"/>
    </row>
    <row r="227" spans="1:10" x14ac:dyDescent="0.25">
      <c r="A227" s="1" t="s">
        <v>422</v>
      </c>
      <c r="B227" s="1" t="s">
        <v>832</v>
      </c>
      <c r="C227" s="22">
        <v>0</v>
      </c>
      <c r="D227" s="22">
        <v>-11207.21</v>
      </c>
      <c r="E227" s="22">
        <f t="shared" si="3"/>
        <v>-11207.21</v>
      </c>
      <c r="J227" s="40"/>
    </row>
    <row r="228" spans="1:10" x14ac:dyDescent="0.25">
      <c r="A228" s="1" t="s">
        <v>423</v>
      </c>
      <c r="B228" s="1" t="s">
        <v>267</v>
      </c>
      <c r="C228" s="22">
        <v>0</v>
      </c>
      <c r="D228" s="22">
        <v>0</v>
      </c>
      <c r="E228" s="22">
        <f t="shared" si="3"/>
        <v>0</v>
      </c>
      <c r="J228" s="40"/>
    </row>
    <row r="229" spans="1:10" x14ac:dyDescent="0.25">
      <c r="A229" s="1" t="s">
        <v>424</v>
      </c>
      <c r="B229" s="1" t="s">
        <v>101</v>
      </c>
      <c r="C229" s="22">
        <v>788378.3</v>
      </c>
      <c r="D229" s="22">
        <v>0</v>
      </c>
      <c r="E229" s="22">
        <f t="shared" si="3"/>
        <v>788378.3</v>
      </c>
      <c r="J229" s="40"/>
    </row>
    <row r="230" spans="1:10" x14ac:dyDescent="0.25">
      <c r="A230" s="1" t="s">
        <v>425</v>
      </c>
      <c r="B230" s="1" t="s">
        <v>104</v>
      </c>
      <c r="C230" s="22">
        <v>60432.78</v>
      </c>
      <c r="D230" s="22">
        <v>0</v>
      </c>
      <c r="E230" s="22">
        <f t="shared" si="3"/>
        <v>60432.78</v>
      </c>
      <c r="J230" s="40"/>
    </row>
    <row r="231" spans="1:10" x14ac:dyDescent="0.25">
      <c r="A231" s="1" t="s">
        <v>426</v>
      </c>
      <c r="B231" s="1" t="s">
        <v>106</v>
      </c>
      <c r="C231" s="22">
        <v>14799.69</v>
      </c>
      <c r="D231" s="22">
        <v>0</v>
      </c>
      <c r="E231" s="22">
        <f t="shared" si="3"/>
        <v>14799.69</v>
      </c>
      <c r="J231" s="40"/>
    </row>
    <row r="232" spans="1:10" x14ac:dyDescent="0.25">
      <c r="A232" s="1" t="s">
        <v>838</v>
      </c>
      <c r="B232" s="1" t="s">
        <v>108</v>
      </c>
      <c r="C232" s="22">
        <v>38183.620000000003</v>
      </c>
      <c r="D232" s="22">
        <v>0</v>
      </c>
      <c r="E232" s="22">
        <f t="shared" si="3"/>
        <v>38183.620000000003</v>
      </c>
      <c r="J232" s="40"/>
    </row>
    <row r="233" spans="1:10" x14ac:dyDescent="0.25">
      <c r="A233" s="1" t="s">
        <v>427</v>
      </c>
      <c r="B233" s="1" t="s">
        <v>110</v>
      </c>
      <c r="C233" s="22">
        <v>1228.9000000000001</v>
      </c>
      <c r="D233" s="22">
        <v>0</v>
      </c>
      <c r="E233" s="22">
        <f t="shared" si="3"/>
        <v>1228.9000000000001</v>
      </c>
      <c r="J233" s="40"/>
    </row>
    <row r="234" spans="1:10" x14ac:dyDescent="0.25">
      <c r="A234" s="1" t="s">
        <v>839</v>
      </c>
      <c r="B234" s="1" t="s">
        <v>112</v>
      </c>
      <c r="C234" s="22">
        <v>3451</v>
      </c>
      <c r="D234" s="22">
        <v>0</v>
      </c>
      <c r="E234" s="22">
        <f t="shared" si="3"/>
        <v>3451</v>
      </c>
      <c r="J234" s="40"/>
    </row>
    <row r="235" spans="1:10" x14ac:dyDescent="0.25">
      <c r="A235" s="1" t="s">
        <v>840</v>
      </c>
      <c r="B235" s="1" t="s">
        <v>114</v>
      </c>
      <c r="C235" s="22">
        <v>8.76</v>
      </c>
      <c r="D235" s="22">
        <v>0</v>
      </c>
      <c r="E235" s="22">
        <f t="shared" si="3"/>
        <v>8.76</v>
      </c>
      <c r="J235" s="40"/>
    </row>
    <row r="236" spans="1:10" x14ac:dyDescent="0.25">
      <c r="A236" s="1" t="s">
        <v>428</v>
      </c>
      <c r="B236" s="1" t="s">
        <v>280</v>
      </c>
      <c r="C236" s="22">
        <v>33980.65</v>
      </c>
      <c r="D236" s="22">
        <v>0</v>
      </c>
      <c r="E236" s="22">
        <f t="shared" si="3"/>
        <v>33980.65</v>
      </c>
      <c r="J236" s="40"/>
    </row>
    <row r="237" spans="1:10" x14ac:dyDescent="0.25">
      <c r="A237" s="1" t="s">
        <v>429</v>
      </c>
      <c r="B237" s="1" t="s">
        <v>295</v>
      </c>
      <c r="C237" s="22">
        <v>0</v>
      </c>
      <c r="D237" s="22">
        <v>0</v>
      </c>
      <c r="E237" s="22">
        <f t="shared" si="3"/>
        <v>0</v>
      </c>
      <c r="J237" s="40"/>
    </row>
    <row r="238" spans="1:10" x14ac:dyDescent="0.25">
      <c r="A238" s="1" t="s">
        <v>430</v>
      </c>
      <c r="B238" s="1" t="s">
        <v>303</v>
      </c>
      <c r="C238" s="22">
        <v>14047.76</v>
      </c>
      <c r="D238" s="22">
        <v>0</v>
      </c>
      <c r="E238" s="22">
        <f t="shared" si="3"/>
        <v>14047.76</v>
      </c>
      <c r="J238" s="40"/>
    </row>
    <row r="239" spans="1:10" x14ac:dyDescent="0.25">
      <c r="A239" s="1" t="s">
        <v>431</v>
      </c>
      <c r="B239" s="1" t="s">
        <v>432</v>
      </c>
      <c r="C239" s="22">
        <v>973.69</v>
      </c>
      <c r="D239" s="22">
        <v>0</v>
      </c>
      <c r="E239" s="22">
        <f t="shared" si="3"/>
        <v>973.69</v>
      </c>
      <c r="J239" s="40"/>
    </row>
    <row r="240" spans="1:10" x14ac:dyDescent="0.25">
      <c r="A240" s="1" t="s">
        <v>433</v>
      </c>
      <c r="B240" s="1" t="s">
        <v>309</v>
      </c>
      <c r="C240" s="22">
        <v>31976.79</v>
      </c>
      <c r="D240" s="22">
        <v>0</v>
      </c>
      <c r="E240" s="22">
        <f t="shared" si="3"/>
        <v>31976.79</v>
      </c>
      <c r="J240" s="40"/>
    </row>
    <row r="241" spans="1:13" x14ac:dyDescent="0.25">
      <c r="A241" s="1" t="s">
        <v>434</v>
      </c>
      <c r="B241" s="1" t="s">
        <v>311</v>
      </c>
      <c r="C241" s="22">
        <v>31774.42</v>
      </c>
      <c r="D241" s="22">
        <v>0</v>
      </c>
      <c r="E241" s="22">
        <f t="shared" si="3"/>
        <v>31774.42</v>
      </c>
      <c r="J241" s="40"/>
    </row>
    <row r="242" spans="1:13" x14ac:dyDescent="0.25">
      <c r="A242" s="40" t="s">
        <v>435</v>
      </c>
      <c r="B242" s="40" t="s">
        <v>329</v>
      </c>
      <c r="C242" s="25">
        <v>170952.8</v>
      </c>
      <c r="D242" s="25">
        <v>0</v>
      </c>
      <c r="E242" s="25">
        <f t="shared" si="3"/>
        <v>170952.8</v>
      </c>
      <c r="F242" s="40"/>
      <c r="G242" s="40"/>
      <c r="H242" s="40"/>
      <c r="I242" s="40"/>
      <c r="J242" s="40"/>
      <c r="K242" s="40"/>
      <c r="L242" s="40"/>
      <c r="M242" s="40"/>
    </row>
    <row r="243" spans="1:13" x14ac:dyDescent="0.25">
      <c r="A243" s="40" t="s">
        <v>436</v>
      </c>
      <c r="B243" s="40" t="s">
        <v>331</v>
      </c>
      <c r="C243" s="25">
        <v>1572.29</v>
      </c>
      <c r="D243" s="25">
        <v>0</v>
      </c>
      <c r="E243" s="25">
        <f t="shared" si="3"/>
        <v>1572.29</v>
      </c>
      <c r="F243" s="40"/>
      <c r="G243" s="40"/>
      <c r="H243" s="40"/>
      <c r="I243" s="40"/>
      <c r="J243" s="40"/>
      <c r="K243" s="40"/>
      <c r="L243" s="40"/>
      <c r="M243" s="40"/>
    </row>
    <row r="244" spans="1:13" x14ac:dyDescent="0.25">
      <c r="A244" s="40" t="s">
        <v>437</v>
      </c>
      <c r="B244" s="40" t="s">
        <v>438</v>
      </c>
      <c r="C244" s="25">
        <v>0</v>
      </c>
      <c r="D244" s="25">
        <v>0</v>
      </c>
      <c r="E244" s="25">
        <f t="shared" si="3"/>
        <v>0</v>
      </c>
      <c r="F244" s="40"/>
      <c r="G244" s="40"/>
      <c r="H244" s="40"/>
      <c r="I244" s="40"/>
      <c r="J244" s="40"/>
      <c r="K244" s="40"/>
      <c r="L244" s="40"/>
      <c r="M244" s="40"/>
    </row>
    <row r="245" spans="1:13" x14ac:dyDescent="0.25">
      <c r="A245" s="40" t="s">
        <v>439</v>
      </c>
      <c r="B245" s="40" t="s">
        <v>43</v>
      </c>
      <c r="C245" s="25">
        <v>21356.05</v>
      </c>
      <c r="D245" s="25">
        <v>0</v>
      </c>
      <c r="E245" s="25">
        <f t="shared" si="3"/>
        <v>21356.05</v>
      </c>
      <c r="F245" s="40"/>
      <c r="G245" s="40"/>
      <c r="H245" s="40"/>
      <c r="I245" s="40"/>
      <c r="J245" s="40"/>
      <c r="K245" s="40"/>
      <c r="L245" s="40"/>
      <c r="M245" s="40"/>
    </row>
    <row r="246" spans="1:13" x14ac:dyDescent="0.25">
      <c r="A246" s="40" t="s">
        <v>440</v>
      </c>
      <c r="B246" s="40" t="s">
        <v>344</v>
      </c>
      <c r="C246" s="25">
        <v>341070.28</v>
      </c>
      <c r="D246" s="25">
        <v>0</v>
      </c>
      <c r="E246" s="25">
        <f t="shared" si="3"/>
        <v>341070.28</v>
      </c>
      <c r="F246" s="40"/>
      <c r="G246" s="40"/>
      <c r="H246" s="40"/>
      <c r="I246" s="40"/>
      <c r="J246" s="40"/>
      <c r="K246" s="40"/>
      <c r="L246" s="40"/>
      <c r="M246" s="40"/>
    </row>
    <row r="247" spans="1:13" x14ac:dyDescent="0.25">
      <c r="A247" s="40" t="s">
        <v>841</v>
      </c>
      <c r="B247" s="40" t="s">
        <v>348</v>
      </c>
      <c r="C247" s="25">
        <v>14605.19</v>
      </c>
      <c r="D247" s="25">
        <v>0</v>
      </c>
      <c r="E247" s="25">
        <f t="shared" si="3"/>
        <v>14605.19</v>
      </c>
      <c r="F247" s="40"/>
      <c r="G247" s="40"/>
      <c r="H247" s="40"/>
      <c r="I247" s="40"/>
      <c r="J247" s="40"/>
      <c r="K247" s="40"/>
      <c r="L247" s="40"/>
      <c r="M247" s="40"/>
    </row>
    <row r="248" spans="1:13" x14ac:dyDescent="0.25">
      <c r="A248" s="40" t="s">
        <v>442</v>
      </c>
      <c r="B248" s="40" t="s">
        <v>164</v>
      </c>
      <c r="C248" s="25">
        <v>0</v>
      </c>
      <c r="D248" s="25">
        <v>0</v>
      </c>
      <c r="E248" s="25">
        <f t="shared" si="3"/>
        <v>0</v>
      </c>
      <c r="F248" s="40"/>
      <c r="G248" s="40"/>
      <c r="H248" s="40"/>
      <c r="I248" s="40"/>
      <c r="J248" s="40"/>
      <c r="K248" s="40"/>
      <c r="L248" s="40"/>
      <c r="M248" s="40"/>
    </row>
    <row r="249" spans="1:13" x14ac:dyDescent="0.25">
      <c r="A249" s="40" t="s">
        <v>443</v>
      </c>
      <c r="B249" s="40" t="s">
        <v>49</v>
      </c>
      <c r="C249" s="25">
        <v>0</v>
      </c>
      <c r="D249" s="25">
        <v>0</v>
      </c>
      <c r="E249" s="25">
        <f t="shared" si="3"/>
        <v>0</v>
      </c>
      <c r="F249" s="40"/>
      <c r="G249" s="40"/>
      <c r="H249" s="40"/>
      <c r="I249" s="40"/>
      <c r="J249" s="40"/>
      <c r="K249" s="40"/>
      <c r="L249" s="40"/>
      <c r="M249" s="40"/>
    </row>
    <row r="250" spans="1:13" x14ac:dyDescent="0.25">
      <c r="A250" s="40" t="s">
        <v>444</v>
      </c>
      <c r="B250" s="40" t="s">
        <v>54</v>
      </c>
      <c r="C250" s="25">
        <v>0</v>
      </c>
      <c r="D250" s="25">
        <v>0</v>
      </c>
      <c r="E250" s="25">
        <f t="shared" si="3"/>
        <v>0</v>
      </c>
      <c r="F250" s="40"/>
      <c r="G250" s="40"/>
      <c r="H250" s="40"/>
      <c r="I250" s="40"/>
      <c r="J250" s="40"/>
      <c r="K250" s="40"/>
      <c r="L250" s="40"/>
      <c r="M250" s="40"/>
    </row>
    <row r="251" spans="1:13" x14ac:dyDescent="0.25">
      <c r="A251" s="40" t="s">
        <v>445</v>
      </c>
      <c r="B251" s="40" t="s">
        <v>198</v>
      </c>
      <c r="C251" s="25">
        <v>0</v>
      </c>
      <c r="D251" s="25">
        <v>0</v>
      </c>
      <c r="E251" s="25">
        <f t="shared" si="3"/>
        <v>0</v>
      </c>
      <c r="F251" s="40"/>
      <c r="G251" s="40"/>
      <c r="H251" s="40"/>
      <c r="I251" s="40"/>
      <c r="J251" s="40"/>
      <c r="K251" s="40"/>
      <c r="L251" s="40"/>
      <c r="M251" s="40"/>
    </row>
    <row r="252" spans="1:13" x14ac:dyDescent="0.25">
      <c r="A252" s="40" t="s">
        <v>446</v>
      </c>
      <c r="B252" s="40" t="s">
        <v>70</v>
      </c>
      <c r="C252" s="25">
        <v>0</v>
      </c>
      <c r="D252" s="25">
        <v>0</v>
      </c>
      <c r="E252" s="25">
        <f t="shared" si="3"/>
        <v>0</v>
      </c>
      <c r="F252" s="40"/>
      <c r="G252" s="40"/>
      <c r="H252" s="40"/>
      <c r="I252" s="40"/>
      <c r="J252" s="40"/>
      <c r="K252" s="40"/>
      <c r="L252" s="40"/>
      <c r="M252" s="40"/>
    </row>
    <row r="253" spans="1:13" x14ac:dyDescent="0.25">
      <c r="A253" s="40" t="s">
        <v>447</v>
      </c>
      <c r="B253" s="40" t="s">
        <v>73</v>
      </c>
      <c r="C253" s="25">
        <v>0</v>
      </c>
      <c r="D253" s="25">
        <v>0</v>
      </c>
      <c r="E253" s="25">
        <f t="shared" si="3"/>
        <v>0</v>
      </c>
      <c r="F253" s="40"/>
      <c r="G253" s="40"/>
      <c r="H253" s="40"/>
      <c r="I253" s="40"/>
      <c r="J253" s="40"/>
      <c r="K253" s="40"/>
      <c r="L253" s="40"/>
      <c r="M253" s="40"/>
    </row>
    <row r="254" spans="1:13" x14ac:dyDescent="0.25">
      <c r="A254" s="40" t="s">
        <v>448</v>
      </c>
      <c r="B254" s="40" t="s">
        <v>75</v>
      </c>
      <c r="C254" s="25">
        <v>0</v>
      </c>
      <c r="D254" s="25">
        <v>0</v>
      </c>
      <c r="E254" s="25">
        <f t="shared" si="3"/>
        <v>0</v>
      </c>
      <c r="F254" s="40"/>
      <c r="G254" s="40"/>
      <c r="H254" s="40"/>
      <c r="I254" s="40"/>
      <c r="J254" s="40"/>
      <c r="K254" s="40"/>
      <c r="L254" s="40"/>
      <c r="M254" s="40"/>
    </row>
    <row r="255" spans="1:13" x14ac:dyDescent="0.25">
      <c r="A255" s="40" t="s">
        <v>449</v>
      </c>
      <c r="B255" s="40" t="s">
        <v>77</v>
      </c>
      <c r="C255" s="25">
        <v>0</v>
      </c>
      <c r="D255" s="25">
        <v>0</v>
      </c>
      <c r="E255" s="25">
        <f t="shared" si="3"/>
        <v>0</v>
      </c>
      <c r="F255" s="40"/>
      <c r="G255" s="40"/>
      <c r="H255" s="40"/>
      <c r="I255" s="40"/>
      <c r="J255" s="40"/>
      <c r="K255" s="40"/>
      <c r="L255" s="40"/>
      <c r="M255" s="40"/>
    </row>
    <row r="256" spans="1:13" x14ac:dyDescent="0.25">
      <c r="A256" s="40" t="s">
        <v>450</v>
      </c>
      <c r="B256" s="40" t="s">
        <v>83</v>
      </c>
      <c r="C256" s="25">
        <v>0</v>
      </c>
      <c r="D256" s="25">
        <v>0</v>
      </c>
      <c r="E256" s="25">
        <f t="shared" si="3"/>
        <v>0</v>
      </c>
      <c r="F256" s="40"/>
      <c r="G256" s="40"/>
      <c r="H256" s="40"/>
      <c r="I256" s="40"/>
      <c r="J256" s="40"/>
      <c r="K256" s="40"/>
      <c r="L256" s="40"/>
      <c r="M256" s="40"/>
    </row>
    <row r="257" spans="1:13" x14ac:dyDescent="0.25">
      <c r="A257" s="40" t="s">
        <v>451</v>
      </c>
      <c r="B257" s="40" t="s">
        <v>85</v>
      </c>
      <c r="C257" s="25">
        <v>0</v>
      </c>
      <c r="D257" s="25">
        <v>0</v>
      </c>
      <c r="E257" s="25">
        <f t="shared" si="3"/>
        <v>0</v>
      </c>
      <c r="F257" s="40"/>
      <c r="G257" s="40"/>
      <c r="H257" s="40"/>
      <c r="I257" s="40"/>
      <c r="J257" s="40"/>
      <c r="K257" s="40"/>
      <c r="L257" s="40"/>
      <c r="M257" s="40"/>
    </row>
    <row r="258" spans="1:13" x14ac:dyDescent="0.25">
      <c r="A258" s="40" t="s">
        <v>452</v>
      </c>
      <c r="B258" s="40" t="s">
        <v>87</v>
      </c>
      <c r="C258" s="25">
        <v>0</v>
      </c>
      <c r="D258" s="25">
        <v>0</v>
      </c>
      <c r="E258" s="25">
        <f t="shared" si="3"/>
        <v>0</v>
      </c>
      <c r="F258" s="40"/>
      <c r="G258" s="40"/>
      <c r="H258" s="40"/>
      <c r="I258" s="40"/>
      <c r="J258" s="40"/>
      <c r="K258" s="40"/>
      <c r="L258" s="40"/>
      <c r="M258" s="40"/>
    </row>
    <row r="259" spans="1:13" x14ac:dyDescent="0.25">
      <c r="A259" s="40" t="s">
        <v>453</v>
      </c>
      <c r="B259" s="40" t="s">
        <v>89</v>
      </c>
      <c r="C259" s="25">
        <v>0</v>
      </c>
      <c r="D259" s="25">
        <v>0</v>
      </c>
      <c r="E259" s="25">
        <f t="shared" si="3"/>
        <v>0</v>
      </c>
      <c r="F259" s="40"/>
      <c r="G259" s="40"/>
      <c r="H259" s="40"/>
      <c r="I259" s="40"/>
      <c r="J259" s="40"/>
      <c r="K259" s="40"/>
      <c r="L259" s="40"/>
      <c r="M259" s="40"/>
    </row>
    <row r="260" spans="1:13" x14ac:dyDescent="0.25">
      <c r="A260" s="40" t="s">
        <v>454</v>
      </c>
      <c r="B260" s="40" t="s">
        <v>91</v>
      </c>
      <c r="C260" s="25">
        <v>0</v>
      </c>
      <c r="D260" s="25">
        <v>0</v>
      </c>
      <c r="E260" s="25">
        <f t="shared" si="3"/>
        <v>0</v>
      </c>
      <c r="F260" s="40"/>
      <c r="G260" s="40"/>
      <c r="H260" s="40"/>
      <c r="I260" s="40"/>
      <c r="J260" s="40"/>
      <c r="K260" s="40"/>
      <c r="L260" s="40"/>
      <c r="M260" s="40"/>
    </row>
    <row r="261" spans="1:13" x14ac:dyDescent="0.25">
      <c r="A261" s="40" t="s">
        <v>455</v>
      </c>
      <c r="B261" s="40" t="s">
        <v>227</v>
      </c>
      <c r="C261" s="25">
        <v>0</v>
      </c>
      <c r="D261" s="25">
        <v>0</v>
      </c>
      <c r="E261" s="25">
        <f t="shared" si="3"/>
        <v>0</v>
      </c>
      <c r="F261" s="40"/>
      <c r="G261" s="40"/>
      <c r="H261" s="40"/>
      <c r="I261" s="40"/>
      <c r="J261" s="40"/>
      <c r="K261" s="40"/>
      <c r="L261" s="40"/>
      <c r="M261" s="40"/>
    </row>
    <row r="262" spans="1:13" x14ac:dyDescent="0.25">
      <c r="A262" s="40" t="s">
        <v>456</v>
      </c>
      <c r="B262" s="40" t="s">
        <v>237</v>
      </c>
      <c r="C262" s="25">
        <v>0</v>
      </c>
      <c r="D262" s="25">
        <v>0</v>
      </c>
      <c r="E262" s="25">
        <f t="shared" ref="E262:E325" si="4">SUM(C262:D262)</f>
        <v>0</v>
      </c>
      <c r="F262" s="40"/>
      <c r="G262" s="40"/>
      <c r="H262" s="40"/>
      <c r="I262" s="40"/>
      <c r="J262" s="40"/>
      <c r="K262" s="40"/>
      <c r="L262" s="40"/>
      <c r="M262" s="40"/>
    </row>
    <row r="263" spans="1:13" x14ac:dyDescent="0.25">
      <c r="A263" s="40" t="s">
        <v>457</v>
      </c>
      <c r="B263" s="40" t="s">
        <v>235</v>
      </c>
      <c r="C263" s="25">
        <v>0</v>
      </c>
      <c r="D263" s="25">
        <v>0</v>
      </c>
      <c r="E263" s="25">
        <f t="shared" si="4"/>
        <v>0</v>
      </c>
      <c r="F263" s="40"/>
      <c r="G263" s="40"/>
      <c r="H263" s="40"/>
      <c r="I263" s="40"/>
      <c r="J263" s="40"/>
      <c r="K263" s="40"/>
      <c r="L263" s="40"/>
      <c r="M263" s="40"/>
    </row>
    <row r="264" spans="1:13" x14ac:dyDescent="0.25">
      <c r="A264" s="40" t="s">
        <v>458</v>
      </c>
      <c r="B264" s="40" t="s">
        <v>459</v>
      </c>
      <c r="C264" s="25">
        <v>0</v>
      </c>
      <c r="D264" s="25">
        <v>0</v>
      </c>
      <c r="E264" s="25">
        <f t="shared" si="4"/>
        <v>0</v>
      </c>
      <c r="F264" s="40"/>
      <c r="G264" s="40"/>
      <c r="H264" s="40"/>
      <c r="I264" s="40"/>
      <c r="J264" s="40"/>
      <c r="K264" s="40"/>
      <c r="L264" s="40"/>
      <c r="M264" s="40"/>
    </row>
    <row r="265" spans="1:13" x14ac:dyDescent="0.25">
      <c r="A265" s="40" t="s">
        <v>460</v>
      </c>
      <c r="B265" s="40" t="s">
        <v>235</v>
      </c>
      <c r="C265" s="25">
        <v>0</v>
      </c>
      <c r="D265" s="25">
        <v>0</v>
      </c>
      <c r="E265" s="25">
        <f t="shared" si="4"/>
        <v>0</v>
      </c>
      <c r="F265" s="40"/>
      <c r="G265" s="40"/>
      <c r="H265" s="40"/>
      <c r="I265" s="40"/>
      <c r="J265" s="40"/>
      <c r="K265" s="40"/>
      <c r="L265" s="40"/>
      <c r="M265" s="40"/>
    </row>
    <row r="266" spans="1:13" x14ac:dyDescent="0.25">
      <c r="A266" s="40" t="s">
        <v>461</v>
      </c>
      <c r="B266" s="40" t="s">
        <v>462</v>
      </c>
      <c r="C266" s="25">
        <v>0</v>
      </c>
      <c r="D266" s="25">
        <v>0</v>
      </c>
      <c r="E266" s="25">
        <f t="shared" si="4"/>
        <v>0</v>
      </c>
      <c r="F266" s="40"/>
      <c r="G266" s="40"/>
      <c r="H266" s="40"/>
      <c r="I266" s="40"/>
      <c r="J266" s="40"/>
      <c r="K266" s="40"/>
      <c r="L266" s="40"/>
      <c r="M266" s="40"/>
    </row>
    <row r="267" spans="1:13" x14ac:dyDescent="0.25">
      <c r="A267" s="40" t="s">
        <v>463</v>
      </c>
      <c r="B267" s="40" t="s">
        <v>235</v>
      </c>
      <c r="C267" s="25">
        <v>0</v>
      </c>
      <c r="D267" s="25">
        <v>0</v>
      </c>
      <c r="E267" s="25">
        <f t="shared" si="4"/>
        <v>0</v>
      </c>
      <c r="F267" s="40"/>
      <c r="G267" s="40"/>
      <c r="H267" s="40"/>
      <c r="I267" s="40"/>
      <c r="J267" s="40"/>
      <c r="K267" s="40"/>
      <c r="L267" s="40"/>
      <c r="M267" s="40"/>
    </row>
    <row r="268" spans="1:13" x14ac:dyDescent="0.25">
      <c r="A268" s="40" t="s">
        <v>464</v>
      </c>
      <c r="B268" s="40" t="s">
        <v>465</v>
      </c>
      <c r="C268" s="25">
        <v>0</v>
      </c>
      <c r="D268" s="25">
        <v>0</v>
      </c>
      <c r="E268" s="25">
        <f t="shared" si="4"/>
        <v>0</v>
      </c>
      <c r="F268" s="40"/>
      <c r="G268" s="40"/>
      <c r="H268" s="40"/>
      <c r="I268" s="40"/>
      <c r="J268" s="40"/>
      <c r="K268" s="40"/>
      <c r="L268" s="40"/>
      <c r="M268" s="40"/>
    </row>
    <row r="269" spans="1:13" x14ac:dyDescent="0.25">
      <c r="A269" s="40" t="s">
        <v>466</v>
      </c>
      <c r="B269" s="40" t="s">
        <v>467</v>
      </c>
      <c r="C269" s="25">
        <v>0</v>
      </c>
      <c r="D269" s="25">
        <v>0</v>
      </c>
      <c r="E269" s="25">
        <f t="shared" si="4"/>
        <v>0</v>
      </c>
      <c r="F269" s="40"/>
      <c r="G269" s="40"/>
      <c r="H269" s="40"/>
      <c r="I269" s="40"/>
      <c r="J269" s="40"/>
      <c r="K269" s="40"/>
      <c r="L269" s="40"/>
      <c r="M269" s="40"/>
    </row>
    <row r="270" spans="1:13" x14ac:dyDescent="0.25">
      <c r="A270" s="40" t="s">
        <v>468</v>
      </c>
      <c r="B270" s="40" t="s">
        <v>101</v>
      </c>
      <c r="C270" s="25">
        <v>0</v>
      </c>
      <c r="D270" s="25">
        <v>0</v>
      </c>
      <c r="E270" s="25">
        <f t="shared" si="4"/>
        <v>0</v>
      </c>
      <c r="F270" s="40"/>
      <c r="G270" s="40"/>
      <c r="H270" s="40"/>
      <c r="I270" s="40"/>
      <c r="J270" s="40"/>
      <c r="K270" s="40"/>
      <c r="L270" s="40"/>
      <c r="M270" s="40"/>
    </row>
    <row r="271" spans="1:13" x14ac:dyDescent="0.25">
      <c r="A271" s="40" t="s">
        <v>469</v>
      </c>
      <c r="B271" s="40" t="s">
        <v>470</v>
      </c>
      <c r="C271" s="25">
        <v>0</v>
      </c>
      <c r="D271" s="25">
        <v>0</v>
      </c>
      <c r="E271" s="25">
        <f t="shared" si="4"/>
        <v>0</v>
      </c>
      <c r="F271" s="40"/>
      <c r="G271" s="40"/>
      <c r="H271" s="40"/>
      <c r="I271" s="40"/>
      <c r="J271" s="40"/>
      <c r="K271" s="40"/>
      <c r="L271" s="40"/>
      <c r="M271" s="40"/>
    </row>
    <row r="272" spans="1:13" x14ac:dyDescent="0.25">
      <c r="A272" s="40" t="s">
        <v>471</v>
      </c>
      <c r="B272" s="40" t="s">
        <v>472</v>
      </c>
      <c r="C272" s="25">
        <v>0</v>
      </c>
      <c r="D272" s="25">
        <v>0</v>
      </c>
      <c r="E272" s="25">
        <f t="shared" si="4"/>
        <v>0</v>
      </c>
      <c r="F272" s="40"/>
      <c r="G272" s="40"/>
      <c r="H272" s="40"/>
      <c r="I272" s="40"/>
      <c r="J272" s="40"/>
      <c r="K272" s="40"/>
      <c r="L272" s="40"/>
      <c r="M272" s="40"/>
    </row>
    <row r="273" spans="1:13" x14ac:dyDescent="0.25">
      <c r="A273" s="40" t="s">
        <v>473</v>
      </c>
      <c r="B273" s="40" t="s">
        <v>474</v>
      </c>
      <c r="C273" s="25">
        <v>0</v>
      </c>
      <c r="D273" s="25">
        <v>0</v>
      </c>
      <c r="E273" s="25">
        <f t="shared" si="4"/>
        <v>0</v>
      </c>
      <c r="F273" s="40"/>
      <c r="G273" s="40"/>
      <c r="H273" s="40"/>
      <c r="I273" s="40"/>
      <c r="J273" s="40"/>
      <c r="K273" s="40"/>
      <c r="L273" s="40"/>
      <c r="M273" s="40"/>
    </row>
    <row r="274" spans="1:13" x14ac:dyDescent="0.25">
      <c r="A274" s="40" t="s">
        <v>475</v>
      </c>
      <c r="B274" s="40" t="s">
        <v>476</v>
      </c>
      <c r="C274" s="25">
        <v>0</v>
      </c>
      <c r="D274" s="25">
        <v>0</v>
      </c>
      <c r="E274" s="25">
        <f t="shared" si="4"/>
        <v>0</v>
      </c>
      <c r="F274" s="40"/>
      <c r="G274" s="40"/>
      <c r="H274" s="40"/>
      <c r="I274" s="40"/>
      <c r="J274" s="40"/>
      <c r="K274" s="40"/>
      <c r="L274" s="40"/>
      <c r="M274" s="40"/>
    </row>
    <row r="275" spans="1:13" x14ac:dyDescent="0.25">
      <c r="A275" s="40" t="s">
        <v>477</v>
      </c>
      <c r="B275" s="40" t="s">
        <v>478</v>
      </c>
      <c r="C275" s="25">
        <v>0</v>
      </c>
      <c r="D275" s="25">
        <v>0</v>
      </c>
      <c r="E275" s="25">
        <f t="shared" si="4"/>
        <v>0</v>
      </c>
      <c r="F275" s="40"/>
      <c r="G275" s="40"/>
      <c r="H275" s="40"/>
      <c r="I275" s="40"/>
      <c r="J275" s="40"/>
      <c r="K275" s="40"/>
      <c r="L275" s="40"/>
      <c r="M275" s="40"/>
    </row>
    <row r="276" spans="1:13" x14ac:dyDescent="0.25">
      <c r="A276" s="40" t="s">
        <v>479</v>
      </c>
      <c r="B276" s="40" t="s">
        <v>480</v>
      </c>
      <c r="C276" s="25">
        <v>0</v>
      </c>
      <c r="D276" s="25">
        <v>0</v>
      </c>
      <c r="E276" s="25">
        <f t="shared" si="4"/>
        <v>0</v>
      </c>
      <c r="F276" s="40"/>
      <c r="G276" s="40"/>
      <c r="H276" s="40"/>
      <c r="I276" s="40"/>
      <c r="J276" s="40"/>
      <c r="K276" s="40"/>
      <c r="L276" s="40"/>
      <c r="M276" s="40"/>
    </row>
    <row r="277" spans="1:13" x14ac:dyDescent="0.25">
      <c r="A277" s="40" t="s">
        <v>481</v>
      </c>
      <c r="B277" s="40" t="s">
        <v>482</v>
      </c>
      <c r="C277" s="25">
        <v>0</v>
      </c>
      <c r="D277" s="25">
        <v>0</v>
      </c>
      <c r="E277" s="25">
        <f t="shared" si="4"/>
        <v>0</v>
      </c>
      <c r="F277" s="40"/>
      <c r="G277" s="40"/>
      <c r="H277" s="40"/>
      <c r="I277" s="40"/>
      <c r="J277" s="40"/>
      <c r="K277" s="40"/>
      <c r="L277" s="40"/>
      <c r="M277" s="40"/>
    </row>
    <row r="278" spans="1:13" x14ac:dyDescent="0.25">
      <c r="A278" s="40" t="s">
        <v>483</v>
      </c>
      <c r="B278" s="40" t="s">
        <v>484</v>
      </c>
      <c r="C278" s="25">
        <v>0</v>
      </c>
      <c r="D278" s="25">
        <v>0</v>
      </c>
      <c r="E278" s="25">
        <f t="shared" si="4"/>
        <v>0</v>
      </c>
      <c r="F278" s="40"/>
      <c r="G278" s="40"/>
      <c r="H278" s="40"/>
      <c r="I278" s="40"/>
      <c r="J278" s="40"/>
      <c r="K278" s="40"/>
      <c r="L278" s="40"/>
      <c r="M278" s="40"/>
    </row>
    <row r="279" spans="1:13" x14ac:dyDescent="0.25">
      <c r="A279" s="40" t="s">
        <v>485</v>
      </c>
      <c r="B279" s="40" t="s">
        <v>120</v>
      </c>
      <c r="C279" s="25">
        <v>0</v>
      </c>
      <c r="D279" s="25">
        <v>0</v>
      </c>
      <c r="E279" s="25">
        <f t="shared" si="4"/>
        <v>0</v>
      </c>
      <c r="F279" s="40"/>
      <c r="G279" s="40"/>
      <c r="H279" s="40"/>
      <c r="I279" s="40"/>
      <c r="J279" s="40"/>
      <c r="K279" s="40"/>
      <c r="L279" s="40"/>
      <c r="M279" s="40"/>
    </row>
    <row r="280" spans="1:13" x14ac:dyDescent="0.25">
      <c r="A280" s="40" t="s">
        <v>486</v>
      </c>
      <c r="B280" s="40" t="s">
        <v>487</v>
      </c>
      <c r="C280" s="25">
        <v>0</v>
      </c>
      <c r="D280" s="25">
        <v>0</v>
      </c>
      <c r="E280" s="25">
        <f t="shared" si="4"/>
        <v>0</v>
      </c>
      <c r="F280" s="40"/>
      <c r="G280" s="40"/>
      <c r="H280" s="40"/>
      <c r="I280" s="40"/>
      <c r="J280" s="40"/>
      <c r="K280" s="40"/>
      <c r="L280" s="40"/>
      <c r="M280" s="40"/>
    </row>
    <row r="281" spans="1:13" x14ac:dyDescent="0.25">
      <c r="A281" s="40" t="s">
        <v>488</v>
      </c>
      <c r="B281" s="40" t="s">
        <v>303</v>
      </c>
      <c r="C281" s="25">
        <v>0</v>
      </c>
      <c r="D281" s="25">
        <v>0</v>
      </c>
      <c r="E281" s="25">
        <f t="shared" si="4"/>
        <v>0</v>
      </c>
      <c r="F281" s="40"/>
      <c r="G281" s="40"/>
      <c r="H281" s="40"/>
      <c r="I281" s="40"/>
      <c r="J281" s="40"/>
      <c r="K281" s="40"/>
      <c r="L281" s="40"/>
      <c r="M281" s="40"/>
    </row>
    <row r="282" spans="1:13" x14ac:dyDescent="0.25">
      <c r="A282" s="40" t="s">
        <v>489</v>
      </c>
      <c r="B282" s="40" t="s">
        <v>490</v>
      </c>
      <c r="C282" s="25">
        <v>0</v>
      </c>
      <c r="D282" s="25">
        <v>0</v>
      </c>
      <c r="E282" s="25">
        <f t="shared" si="4"/>
        <v>0</v>
      </c>
      <c r="F282" s="40"/>
      <c r="G282" s="40"/>
      <c r="H282" s="40"/>
      <c r="I282" s="40"/>
      <c r="J282" s="40"/>
      <c r="K282" s="40"/>
      <c r="L282" s="40"/>
      <c r="M282" s="40"/>
    </row>
    <row r="283" spans="1:13" x14ac:dyDescent="0.25">
      <c r="A283" s="40" t="s">
        <v>491</v>
      </c>
      <c r="B283" s="40" t="s">
        <v>492</v>
      </c>
      <c r="C283" s="25">
        <v>0</v>
      </c>
      <c r="D283" s="25">
        <v>0</v>
      </c>
      <c r="E283" s="25">
        <f t="shared" si="4"/>
        <v>0</v>
      </c>
      <c r="F283" s="40"/>
      <c r="G283" s="40"/>
      <c r="H283" s="40"/>
      <c r="I283" s="40"/>
      <c r="J283" s="40"/>
      <c r="K283" s="40"/>
      <c r="L283" s="40"/>
      <c r="M283" s="40"/>
    </row>
    <row r="284" spans="1:13" x14ac:dyDescent="0.25">
      <c r="A284" s="40" t="s">
        <v>493</v>
      </c>
      <c r="B284" s="40" t="s">
        <v>494</v>
      </c>
      <c r="C284" s="25">
        <v>0</v>
      </c>
      <c r="D284" s="25">
        <v>0</v>
      </c>
      <c r="E284" s="25">
        <f t="shared" si="4"/>
        <v>0</v>
      </c>
      <c r="F284" s="40"/>
      <c r="G284" s="40"/>
      <c r="H284" s="40"/>
      <c r="I284" s="40"/>
      <c r="J284" s="40"/>
      <c r="K284" s="40"/>
      <c r="L284" s="40"/>
      <c r="M284" s="40"/>
    </row>
    <row r="285" spans="1:13" x14ac:dyDescent="0.25">
      <c r="A285" s="40" t="s">
        <v>495</v>
      </c>
      <c r="B285" s="40" t="s">
        <v>496</v>
      </c>
      <c r="C285" s="25">
        <v>0</v>
      </c>
      <c r="D285" s="25">
        <v>0</v>
      </c>
      <c r="E285" s="25">
        <f t="shared" si="4"/>
        <v>0</v>
      </c>
      <c r="F285" s="40"/>
      <c r="G285" s="40"/>
      <c r="H285" s="40"/>
      <c r="I285" s="40"/>
      <c r="J285" s="40"/>
      <c r="K285" s="40"/>
      <c r="L285" s="40"/>
      <c r="M285" s="40"/>
    </row>
    <row r="286" spans="1:13" x14ac:dyDescent="0.25">
      <c r="A286" s="40" t="s">
        <v>497</v>
      </c>
      <c r="B286" s="40" t="s">
        <v>498</v>
      </c>
      <c r="C286" s="25">
        <v>0</v>
      </c>
      <c r="D286" s="25">
        <v>0</v>
      </c>
      <c r="E286" s="25">
        <f t="shared" si="4"/>
        <v>0</v>
      </c>
      <c r="F286" s="40"/>
      <c r="G286" s="40"/>
      <c r="H286" s="40"/>
      <c r="I286" s="40"/>
      <c r="J286" s="40"/>
      <c r="K286" s="40"/>
      <c r="L286" s="40"/>
      <c r="M286" s="40"/>
    </row>
    <row r="287" spans="1:13" x14ac:dyDescent="0.25">
      <c r="A287" s="40" t="s">
        <v>499</v>
      </c>
      <c r="B287" s="40" t="s">
        <v>322</v>
      </c>
      <c r="C287" s="25">
        <v>0</v>
      </c>
      <c r="D287" s="25">
        <v>0</v>
      </c>
      <c r="E287" s="25">
        <f t="shared" si="4"/>
        <v>0</v>
      </c>
      <c r="F287" s="40"/>
      <c r="G287" s="40"/>
      <c r="H287" s="40"/>
      <c r="I287" s="40"/>
      <c r="J287" s="40"/>
      <c r="K287" s="40"/>
      <c r="L287" s="40"/>
      <c r="M287" s="40"/>
    </row>
    <row r="288" spans="1:13" x14ac:dyDescent="0.25">
      <c r="A288" s="1" t="s">
        <v>500</v>
      </c>
      <c r="B288" s="1" t="s">
        <v>23</v>
      </c>
      <c r="C288" s="22">
        <v>0</v>
      </c>
      <c r="D288" s="22">
        <v>0</v>
      </c>
      <c r="E288" s="22">
        <f t="shared" si="4"/>
        <v>0</v>
      </c>
      <c r="J288" s="40"/>
    </row>
    <row r="289" spans="1:10" x14ac:dyDescent="0.25">
      <c r="A289" s="1" t="s">
        <v>501</v>
      </c>
      <c r="B289" s="1" t="s">
        <v>502</v>
      </c>
      <c r="C289" s="22">
        <v>0</v>
      </c>
      <c r="D289" s="22">
        <v>0</v>
      </c>
      <c r="E289" s="22">
        <f t="shared" si="4"/>
        <v>0</v>
      </c>
      <c r="J289" s="40"/>
    </row>
    <row r="290" spans="1:10" x14ac:dyDescent="0.25">
      <c r="A290" s="1" t="s">
        <v>503</v>
      </c>
      <c r="B290" s="1" t="s">
        <v>504</v>
      </c>
      <c r="C290" s="22">
        <v>0</v>
      </c>
      <c r="D290" s="22">
        <v>0</v>
      </c>
      <c r="E290" s="22">
        <f t="shared" si="4"/>
        <v>0</v>
      </c>
      <c r="J290" s="40"/>
    </row>
    <row r="291" spans="1:10" x14ac:dyDescent="0.25">
      <c r="A291" s="1" t="s">
        <v>505</v>
      </c>
      <c r="B291" s="1" t="s">
        <v>506</v>
      </c>
      <c r="C291" s="22">
        <v>0</v>
      </c>
      <c r="D291" s="22">
        <v>0</v>
      </c>
      <c r="E291" s="22">
        <f t="shared" si="4"/>
        <v>0</v>
      </c>
      <c r="J291" s="40"/>
    </row>
    <row r="292" spans="1:10" x14ac:dyDescent="0.25">
      <c r="A292" s="1" t="s">
        <v>507</v>
      </c>
      <c r="B292" s="1" t="s">
        <v>162</v>
      </c>
      <c r="C292" s="22">
        <v>0</v>
      </c>
      <c r="D292" s="22">
        <v>0</v>
      </c>
      <c r="E292" s="22">
        <f t="shared" si="4"/>
        <v>0</v>
      </c>
      <c r="J292" s="40"/>
    </row>
    <row r="293" spans="1:10" x14ac:dyDescent="0.25">
      <c r="A293" s="1" t="s">
        <v>508</v>
      </c>
      <c r="B293" s="1" t="s">
        <v>348</v>
      </c>
      <c r="C293" s="22">
        <v>0</v>
      </c>
      <c r="D293" s="22">
        <v>0</v>
      </c>
      <c r="E293" s="22">
        <f t="shared" si="4"/>
        <v>0</v>
      </c>
      <c r="J293" s="40"/>
    </row>
    <row r="294" spans="1:10" x14ac:dyDescent="0.25">
      <c r="A294" s="1" t="s">
        <v>509</v>
      </c>
      <c r="B294" s="1" t="s">
        <v>401</v>
      </c>
      <c r="C294" s="22">
        <v>0</v>
      </c>
      <c r="D294" s="22">
        <v>0</v>
      </c>
      <c r="E294" s="22">
        <f t="shared" si="4"/>
        <v>0</v>
      </c>
      <c r="J294" s="40"/>
    </row>
    <row r="295" spans="1:10" x14ac:dyDescent="0.25">
      <c r="A295" s="1" t="s">
        <v>510</v>
      </c>
      <c r="B295" s="1" t="s">
        <v>49</v>
      </c>
      <c r="C295" s="22">
        <v>1598634.14</v>
      </c>
      <c r="D295" s="22">
        <v>0</v>
      </c>
      <c r="E295" s="22">
        <f t="shared" si="4"/>
        <v>1598634.14</v>
      </c>
      <c r="J295" s="40"/>
    </row>
    <row r="296" spans="1:10" x14ac:dyDescent="0.25">
      <c r="A296" s="1" t="s">
        <v>511</v>
      </c>
      <c r="B296" s="1" t="s">
        <v>512</v>
      </c>
      <c r="C296" s="22">
        <v>304069.86</v>
      </c>
      <c r="D296" s="22">
        <v>0</v>
      </c>
      <c r="E296" s="22">
        <f t="shared" si="4"/>
        <v>304069.86</v>
      </c>
      <c r="J296" s="40"/>
    </row>
    <row r="297" spans="1:10" x14ac:dyDescent="0.25">
      <c r="A297" s="1" t="s">
        <v>513</v>
      </c>
      <c r="B297" s="1" t="s">
        <v>514</v>
      </c>
      <c r="C297" s="22">
        <v>149986.16</v>
      </c>
      <c r="D297" s="22">
        <v>0</v>
      </c>
      <c r="E297" s="22">
        <f t="shared" si="4"/>
        <v>149986.16</v>
      </c>
      <c r="J297" s="40"/>
    </row>
    <row r="298" spans="1:10" x14ac:dyDescent="0.25">
      <c r="A298" s="1" t="s">
        <v>515</v>
      </c>
      <c r="B298" s="1" t="s">
        <v>516</v>
      </c>
      <c r="C298" s="22">
        <v>87967.42</v>
      </c>
      <c r="D298" s="22">
        <v>0</v>
      </c>
      <c r="E298" s="22">
        <f t="shared" si="4"/>
        <v>87967.42</v>
      </c>
      <c r="J298" s="40"/>
    </row>
    <row r="299" spans="1:10" x14ac:dyDescent="0.25">
      <c r="A299" s="1" t="s">
        <v>517</v>
      </c>
      <c r="B299" s="1" t="s">
        <v>518</v>
      </c>
      <c r="C299" s="22">
        <v>0</v>
      </c>
      <c r="D299" s="22">
        <v>0</v>
      </c>
      <c r="E299" s="22">
        <f t="shared" si="4"/>
        <v>0</v>
      </c>
      <c r="J299" s="40"/>
    </row>
    <row r="300" spans="1:10" x14ac:dyDescent="0.25">
      <c r="A300" s="1" t="s">
        <v>519</v>
      </c>
      <c r="B300" s="1" t="s">
        <v>520</v>
      </c>
      <c r="C300" s="22">
        <v>0</v>
      </c>
      <c r="D300" s="22">
        <v>0</v>
      </c>
      <c r="E300" s="22">
        <f t="shared" si="4"/>
        <v>0</v>
      </c>
      <c r="J300" s="40"/>
    </row>
    <row r="301" spans="1:10" x14ac:dyDescent="0.25">
      <c r="A301" s="1" t="s">
        <v>521</v>
      </c>
      <c r="B301" s="1" t="s">
        <v>522</v>
      </c>
      <c r="C301" s="22">
        <v>43155.29</v>
      </c>
      <c r="D301" s="22">
        <v>0</v>
      </c>
      <c r="E301" s="22">
        <f t="shared" si="4"/>
        <v>43155.29</v>
      </c>
      <c r="J301" s="40"/>
    </row>
    <row r="302" spans="1:10" x14ac:dyDescent="0.25">
      <c r="A302" s="1" t="s">
        <v>523</v>
      </c>
      <c r="B302" s="1" t="s">
        <v>54</v>
      </c>
      <c r="C302" s="22">
        <v>139720.32999999999</v>
      </c>
      <c r="D302" s="22">
        <v>0</v>
      </c>
      <c r="E302" s="22">
        <f t="shared" si="4"/>
        <v>139720.32999999999</v>
      </c>
      <c r="J302" s="40"/>
    </row>
    <row r="303" spans="1:10" x14ac:dyDescent="0.25">
      <c r="A303" s="1" t="s">
        <v>524</v>
      </c>
      <c r="B303" s="1" t="s">
        <v>525</v>
      </c>
      <c r="C303" s="22">
        <v>13195.08</v>
      </c>
      <c r="D303" s="22">
        <v>0</v>
      </c>
      <c r="E303" s="22">
        <f t="shared" si="4"/>
        <v>13195.08</v>
      </c>
      <c r="J303" s="40"/>
    </row>
    <row r="304" spans="1:10" x14ac:dyDescent="0.25">
      <c r="A304" s="1" t="s">
        <v>526</v>
      </c>
      <c r="B304" s="1" t="s">
        <v>527</v>
      </c>
      <c r="C304" s="22">
        <v>0</v>
      </c>
      <c r="D304" s="22">
        <v>0</v>
      </c>
      <c r="E304" s="22">
        <f t="shared" si="4"/>
        <v>0</v>
      </c>
      <c r="J304" s="40"/>
    </row>
    <row r="305" spans="1:10" x14ac:dyDescent="0.25">
      <c r="A305" s="1" t="s">
        <v>528</v>
      </c>
      <c r="B305" s="1" t="s">
        <v>529</v>
      </c>
      <c r="C305" s="22">
        <v>0</v>
      </c>
      <c r="D305" s="22">
        <v>-18000</v>
      </c>
      <c r="E305" s="22">
        <f t="shared" si="4"/>
        <v>-18000</v>
      </c>
      <c r="J305" s="40"/>
    </row>
    <row r="306" spans="1:10" x14ac:dyDescent="0.25">
      <c r="A306" s="1" t="s">
        <v>530</v>
      </c>
      <c r="B306" s="1" t="s">
        <v>531</v>
      </c>
      <c r="C306" s="22">
        <v>0</v>
      </c>
      <c r="D306" s="22">
        <v>0</v>
      </c>
      <c r="E306" s="22">
        <f t="shared" si="4"/>
        <v>0</v>
      </c>
      <c r="J306" s="40"/>
    </row>
    <row r="307" spans="1:10" x14ac:dyDescent="0.25">
      <c r="A307" s="1" t="s">
        <v>532</v>
      </c>
      <c r="B307" s="1" t="s">
        <v>56</v>
      </c>
      <c r="C307" s="22">
        <v>0</v>
      </c>
      <c r="D307" s="22">
        <v>0</v>
      </c>
      <c r="E307" s="22">
        <f t="shared" si="4"/>
        <v>0</v>
      </c>
      <c r="J307" s="40"/>
    </row>
    <row r="308" spans="1:10" x14ac:dyDescent="0.25">
      <c r="A308" s="1" t="s">
        <v>533</v>
      </c>
      <c r="B308" s="1" t="s">
        <v>186</v>
      </c>
      <c r="C308" s="22">
        <v>0</v>
      </c>
      <c r="D308" s="22">
        <v>0</v>
      </c>
      <c r="E308" s="22">
        <f t="shared" si="4"/>
        <v>0</v>
      </c>
      <c r="J308" s="40"/>
    </row>
    <row r="309" spans="1:10" x14ac:dyDescent="0.25">
      <c r="A309" s="1" t="s">
        <v>534</v>
      </c>
      <c r="B309" s="1" t="s">
        <v>535</v>
      </c>
      <c r="C309" s="22">
        <v>170814.34</v>
      </c>
      <c r="D309" s="22">
        <v>0</v>
      </c>
      <c r="E309" s="22">
        <f t="shared" si="4"/>
        <v>170814.34</v>
      </c>
      <c r="J309" s="40"/>
    </row>
    <row r="310" spans="1:10" x14ac:dyDescent="0.25">
      <c r="A310" s="1" t="s">
        <v>536</v>
      </c>
      <c r="B310" s="1" t="s">
        <v>537</v>
      </c>
      <c r="C310" s="22">
        <v>437671</v>
      </c>
      <c r="D310" s="22">
        <v>0</v>
      </c>
      <c r="E310" s="22">
        <f t="shared" si="4"/>
        <v>437671</v>
      </c>
      <c r="J310" s="40"/>
    </row>
    <row r="311" spans="1:10" x14ac:dyDescent="0.25">
      <c r="A311" s="1" t="s">
        <v>538</v>
      </c>
      <c r="B311" s="1" t="s">
        <v>539</v>
      </c>
      <c r="C311" s="22">
        <v>1734755.88</v>
      </c>
      <c r="D311" s="22">
        <v>0</v>
      </c>
      <c r="E311" s="22">
        <f t="shared" si="4"/>
        <v>1734755.88</v>
      </c>
      <c r="J311" s="40"/>
    </row>
    <row r="312" spans="1:10" x14ac:dyDescent="0.25">
      <c r="A312" s="1" t="s">
        <v>540</v>
      </c>
      <c r="B312" s="1" t="s">
        <v>541</v>
      </c>
      <c r="C312" s="22">
        <v>3039136.71</v>
      </c>
      <c r="D312" s="22">
        <v>0</v>
      </c>
      <c r="E312" s="22">
        <f t="shared" si="4"/>
        <v>3039136.71</v>
      </c>
      <c r="J312" s="40"/>
    </row>
    <row r="313" spans="1:10" x14ac:dyDescent="0.25">
      <c r="A313" s="1" t="s">
        <v>542</v>
      </c>
      <c r="B313" s="1" t="s">
        <v>543</v>
      </c>
      <c r="C313" s="22">
        <v>62293</v>
      </c>
      <c r="D313" s="22">
        <v>0</v>
      </c>
      <c r="E313" s="22">
        <f t="shared" si="4"/>
        <v>62293</v>
      </c>
      <c r="J313" s="40"/>
    </row>
    <row r="314" spans="1:10" x14ac:dyDescent="0.25">
      <c r="A314" s="1" t="s">
        <v>544</v>
      </c>
      <c r="B314" s="1" t="s">
        <v>545</v>
      </c>
      <c r="C314" s="22">
        <v>0</v>
      </c>
      <c r="D314" s="22">
        <v>0</v>
      </c>
      <c r="E314" s="22">
        <f t="shared" si="4"/>
        <v>0</v>
      </c>
      <c r="J314" s="40"/>
    </row>
    <row r="315" spans="1:10" x14ac:dyDescent="0.25">
      <c r="A315" s="1" t="s">
        <v>546</v>
      </c>
      <c r="B315" s="1" t="s">
        <v>547</v>
      </c>
      <c r="C315" s="22">
        <v>3126593.35</v>
      </c>
      <c r="D315" s="22">
        <v>0</v>
      </c>
      <c r="E315" s="22">
        <f t="shared" si="4"/>
        <v>3126593.35</v>
      </c>
      <c r="J315" s="40"/>
    </row>
    <row r="316" spans="1:10" x14ac:dyDescent="0.25">
      <c r="A316" s="1" t="s">
        <v>548</v>
      </c>
      <c r="B316" s="1" t="s">
        <v>198</v>
      </c>
      <c r="C316" s="22">
        <v>0</v>
      </c>
      <c r="D316" s="22">
        <v>-1832663.5</v>
      </c>
      <c r="E316" s="22">
        <f t="shared" si="4"/>
        <v>-1832663.5</v>
      </c>
      <c r="J316" s="40"/>
    </row>
    <row r="317" spans="1:10" x14ac:dyDescent="0.25">
      <c r="A317" s="1" t="s">
        <v>842</v>
      </c>
      <c r="B317" s="1" t="s">
        <v>201</v>
      </c>
      <c r="C317" s="22">
        <v>35133</v>
      </c>
      <c r="D317" s="22">
        <v>0</v>
      </c>
      <c r="E317" s="22">
        <f t="shared" si="4"/>
        <v>35133</v>
      </c>
      <c r="J317" s="40"/>
    </row>
    <row r="318" spans="1:10" x14ac:dyDescent="0.25">
      <c r="A318" s="1" t="s">
        <v>549</v>
      </c>
      <c r="B318" s="1" t="s">
        <v>70</v>
      </c>
      <c r="C318" s="22">
        <v>0</v>
      </c>
      <c r="D318" s="22">
        <v>-64848.51</v>
      </c>
      <c r="E318" s="22">
        <f t="shared" si="4"/>
        <v>-64848.51</v>
      </c>
      <c r="J318" s="40"/>
    </row>
    <row r="319" spans="1:10" x14ac:dyDescent="0.25">
      <c r="A319" s="1" t="s">
        <v>550</v>
      </c>
      <c r="B319" s="1" t="s">
        <v>205</v>
      </c>
      <c r="C319" s="22">
        <v>0</v>
      </c>
      <c r="D319" s="22">
        <v>0</v>
      </c>
      <c r="E319" s="22">
        <f t="shared" si="4"/>
        <v>0</v>
      </c>
      <c r="J319" s="40"/>
    </row>
    <row r="320" spans="1:10" x14ac:dyDescent="0.25">
      <c r="A320" s="1" t="s">
        <v>843</v>
      </c>
      <c r="B320" s="1" t="s">
        <v>844</v>
      </c>
      <c r="C320" s="22">
        <v>0</v>
      </c>
      <c r="D320" s="22">
        <v>-926.35</v>
      </c>
      <c r="E320" s="22">
        <f t="shared" si="4"/>
        <v>-926.35</v>
      </c>
      <c r="J320" s="40"/>
    </row>
    <row r="321" spans="1:10" x14ac:dyDescent="0.25">
      <c r="A321" s="1" t="s">
        <v>551</v>
      </c>
      <c r="B321" s="1" t="s">
        <v>73</v>
      </c>
      <c r="C321" s="22">
        <v>0</v>
      </c>
      <c r="D321" s="22">
        <v>-13842.13</v>
      </c>
      <c r="E321" s="22">
        <f t="shared" si="4"/>
        <v>-13842.13</v>
      </c>
      <c r="J321" s="40"/>
    </row>
    <row r="322" spans="1:10" x14ac:dyDescent="0.25">
      <c r="A322" s="1" t="s">
        <v>552</v>
      </c>
      <c r="B322" s="1" t="s">
        <v>208</v>
      </c>
      <c r="C322" s="22">
        <v>0</v>
      </c>
      <c r="D322" s="22">
        <v>-2276.41</v>
      </c>
      <c r="E322" s="22">
        <f t="shared" si="4"/>
        <v>-2276.41</v>
      </c>
      <c r="J322" s="40"/>
    </row>
    <row r="323" spans="1:10" x14ac:dyDescent="0.25">
      <c r="A323" s="1" t="s">
        <v>553</v>
      </c>
      <c r="B323" s="1" t="s">
        <v>210</v>
      </c>
      <c r="C323" s="22">
        <v>0</v>
      </c>
      <c r="D323" s="22">
        <v>-1937.23</v>
      </c>
      <c r="E323" s="22">
        <f t="shared" si="4"/>
        <v>-1937.23</v>
      </c>
      <c r="J323" s="40"/>
    </row>
    <row r="324" spans="1:10" x14ac:dyDescent="0.25">
      <c r="A324" s="1" t="s">
        <v>845</v>
      </c>
      <c r="B324" s="1" t="s">
        <v>79</v>
      </c>
      <c r="C324" s="22">
        <v>0</v>
      </c>
      <c r="D324" s="22">
        <v>-20096</v>
      </c>
      <c r="E324" s="22">
        <f t="shared" si="4"/>
        <v>-20096</v>
      </c>
      <c r="J324" s="40"/>
    </row>
    <row r="325" spans="1:10" x14ac:dyDescent="0.25">
      <c r="A325" s="1" t="s">
        <v>846</v>
      </c>
      <c r="B325" s="1" t="s">
        <v>213</v>
      </c>
      <c r="C325" s="22">
        <v>0</v>
      </c>
      <c r="D325" s="22">
        <v>-383</v>
      </c>
      <c r="E325" s="22">
        <f t="shared" si="4"/>
        <v>-383</v>
      </c>
      <c r="J325" s="40"/>
    </row>
    <row r="326" spans="1:10" x14ac:dyDescent="0.25">
      <c r="A326" s="1" t="s">
        <v>554</v>
      </c>
      <c r="B326" s="1" t="s">
        <v>215</v>
      </c>
      <c r="C326" s="22">
        <v>12.16</v>
      </c>
      <c r="D326" s="22">
        <v>0</v>
      </c>
      <c r="E326" s="22">
        <f t="shared" ref="E326:E389" si="5">SUM(C326:D326)</f>
        <v>12.16</v>
      </c>
      <c r="J326" s="40"/>
    </row>
    <row r="327" spans="1:10" x14ac:dyDescent="0.25">
      <c r="A327" s="1" t="s">
        <v>555</v>
      </c>
      <c r="B327" s="1" t="s">
        <v>217</v>
      </c>
      <c r="C327" s="22">
        <v>0</v>
      </c>
      <c r="D327" s="22">
        <v>0</v>
      </c>
      <c r="E327" s="22">
        <f t="shared" si="5"/>
        <v>0</v>
      </c>
      <c r="J327" s="40"/>
    </row>
    <row r="328" spans="1:10" x14ac:dyDescent="0.25">
      <c r="A328" s="1" t="s">
        <v>556</v>
      </c>
      <c r="B328" s="1" t="s">
        <v>219</v>
      </c>
      <c r="C328" s="22">
        <v>0</v>
      </c>
      <c r="D328" s="22">
        <v>-22.85</v>
      </c>
      <c r="E328" s="22">
        <f t="shared" si="5"/>
        <v>-22.85</v>
      </c>
      <c r="J328" s="40"/>
    </row>
    <row r="329" spans="1:10" x14ac:dyDescent="0.25">
      <c r="A329" s="1" t="s">
        <v>557</v>
      </c>
      <c r="B329" s="1" t="s">
        <v>221</v>
      </c>
      <c r="C329" s="22">
        <v>0</v>
      </c>
      <c r="D329" s="22">
        <v>-488147.48</v>
      </c>
      <c r="E329" s="22">
        <f t="shared" si="5"/>
        <v>-488147.48</v>
      </c>
      <c r="J329" s="40"/>
    </row>
    <row r="330" spans="1:10" x14ac:dyDescent="0.25">
      <c r="A330" s="1" t="s">
        <v>558</v>
      </c>
      <c r="B330" s="1" t="s">
        <v>89</v>
      </c>
      <c r="C330" s="22">
        <v>0</v>
      </c>
      <c r="D330" s="22">
        <v>-11853.26</v>
      </c>
      <c r="E330" s="22">
        <f t="shared" si="5"/>
        <v>-11853.26</v>
      </c>
      <c r="J330" s="40"/>
    </row>
    <row r="331" spans="1:10" x14ac:dyDescent="0.25">
      <c r="A331" s="1" t="s">
        <v>559</v>
      </c>
      <c r="B331" s="1" t="s">
        <v>224</v>
      </c>
      <c r="C331" s="22">
        <v>0</v>
      </c>
      <c r="D331" s="22">
        <v>-13891</v>
      </c>
      <c r="E331" s="22">
        <f t="shared" si="5"/>
        <v>-13891</v>
      </c>
      <c r="J331" s="40"/>
    </row>
    <row r="332" spans="1:10" x14ac:dyDescent="0.25">
      <c r="A332" s="1" t="s">
        <v>560</v>
      </c>
      <c r="B332" s="1" t="s">
        <v>91</v>
      </c>
      <c r="C332" s="22">
        <v>0</v>
      </c>
      <c r="D332" s="22">
        <v>0</v>
      </c>
      <c r="E332" s="22">
        <f t="shared" si="5"/>
        <v>0</v>
      </c>
      <c r="J332" s="40"/>
    </row>
    <row r="333" spans="1:10" x14ac:dyDescent="0.25">
      <c r="A333" s="1" t="s">
        <v>561</v>
      </c>
      <c r="B333" s="1" t="s">
        <v>227</v>
      </c>
      <c r="C333" s="22">
        <v>0</v>
      </c>
      <c r="D333" s="22">
        <v>-2302.27</v>
      </c>
      <c r="E333" s="22">
        <f t="shared" si="5"/>
        <v>-2302.27</v>
      </c>
      <c r="J333" s="40"/>
    </row>
    <row r="334" spans="1:10" x14ac:dyDescent="0.25">
      <c r="A334" s="1" t="s">
        <v>562</v>
      </c>
      <c r="B334" s="1" t="s">
        <v>563</v>
      </c>
      <c r="C334" s="22">
        <v>0</v>
      </c>
      <c r="D334" s="22">
        <v>0</v>
      </c>
      <c r="E334" s="22">
        <f t="shared" si="5"/>
        <v>0</v>
      </c>
      <c r="J334" s="40"/>
    </row>
    <row r="335" spans="1:10" x14ac:dyDescent="0.25">
      <c r="A335" s="1" t="s">
        <v>564</v>
      </c>
      <c r="B335" s="1" t="s">
        <v>231</v>
      </c>
      <c r="C335" s="22">
        <v>0</v>
      </c>
      <c r="D335" s="22">
        <v>0</v>
      </c>
      <c r="E335" s="22">
        <f t="shared" si="5"/>
        <v>0</v>
      </c>
      <c r="J335" s="40"/>
    </row>
    <row r="336" spans="1:10" x14ac:dyDescent="0.25">
      <c r="A336" s="1" t="s">
        <v>565</v>
      </c>
      <c r="B336" s="1" t="s">
        <v>235</v>
      </c>
      <c r="C336" s="22">
        <v>0</v>
      </c>
      <c r="D336" s="22">
        <v>0</v>
      </c>
      <c r="E336" s="22">
        <f t="shared" si="5"/>
        <v>0</v>
      </c>
      <c r="J336" s="40"/>
    </row>
    <row r="337" spans="1:10" x14ac:dyDescent="0.25">
      <c r="A337" s="1" t="s">
        <v>566</v>
      </c>
      <c r="B337" s="1" t="s">
        <v>567</v>
      </c>
      <c r="C337" s="22">
        <v>0</v>
      </c>
      <c r="D337" s="22">
        <v>-1558000</v>
      </c>
      <c r="E337" s="22">
        <f t="shared" si="5"/>
        <v>-1558000</v>
      </c>
      <c r="J337" s="40"/>
    </row>
    <row r="338" spans="1:10" x14ac:dyDescent="0.25">
      <c r="A338" s="1" t="s">
        <v>568</v>
      </c>
      <c r="B338" s="1" t="s">
        <v>569</v>
      </c>
      <c r="C338" s="22">
        <v>0</v>
      </c>
      <c r="D338" s="22">
        <v>-138000</v>
      </c>
      <c r="E338" s="22">
        <f t="shared" si="5"/>
        <v>-138000</v>
      </c>
      <c r="J338" s="40"/>
    </row>
    <row r="339" spans="1:10" x14ac:dyDescent="0.25">
      <c r="A339" s="1" t="s">
        <v>570</v>
      </c>
      <c r="B339" s="1" t="s">
        <v>237</v>
      </c>
      <c r="C339" s="22">
        <v>0</v>
      </c>
      <c r="D339" s="22">
        <v>0</v>
      </c>
      <c r="E339" s="22">
        <f t="shared" si="5"/>
        <v>0</v>
      </c>
      <c r="J339" s="40"/>
    </row>
    <row r="340" spans="1:10" x14ac:dyDescent="0.25">
      <c r="A340" s="1" t="s">
        <v>571</v>
      </c>
      <c r="B340" s="1" t="s">
        <v>235</v>
      </c>
      <c r="C340" s="22">
        <v>0</v>
      </c>
      <c r="D340" s="22">
        <v>0</v>
      </c>
      <c r="E340" s="22">
        <f t="shared" si="5"/>
        <v>0</v>
      </c>
      <c r="J340" s="40"/>
    </row>
    <row r="341" spans="1:10" x14ac:dyDescent="0.25">
      <c r="A341" s="1" t="s">
        <v>572</v>
      </c>
      <c r="B341" s="1" t="s">
        <v>459</v>
      </c>
      <c r="C341" s="22">
        <v>0</v>
      </c>
      <c r="D341" s="22">
        <v>0</v>
      </c>
      <c r="E341" s="22">
        <f t="shared" si="5"/>
        <v>0</v>
      </c>
      <c r="J341" s="40"/>
    </row>
    <row r="342" spans="1:10" x14ac:dyDescent="0.25">
      <c r="A342" s="1" t="s">
        <v>573</v>
      </c>
      <c r="B342" s="1" t="s">
        <v>235</v>
      </c>
      <c r="C342" s="22">
        <v>0</v>
      </c>
      <c r="D342" s="22">
        <v>0</v>
      </c>
      <c r="E342" s="22">
        <f t="shared" si="5"/>
        <v>0</v>
      </c>
      <c r="J342" s="40"/>
    </row>
    <row r="343" spans="1:10" x14ac:dyDescent="0.25">
      <c r="A343" s="1" t="s">
        <v>574</v>
      </c>
      <c r="B343" s="1" t="s">
        <v>575</v>
      </c>
      <c r="C343" s="22">
        <v>0</v>
      </c>
      <c r="D343" s="22">
        <v>0</v>
      </c>
      <c r="E343" s="22">
        <f t="shared" si="5"/>
        <v>0</v>
      </c>
      <c r="J343" s="40"/>
    </row>
    <row r="344" spans="1:10" x14ac:dyDescent="0.25">
      <c r="A344" s="1" t="s">
        <v>576</v>
      </c>
      <c r="B344" s="1" t="s">
        <v>235</v>
      </c>
      <c r="C344" s="22">
        <v>0</v>
      </c>
      <c r="D344" s="22">
        <v>0</v>
      </c>
      <c r="E344" s="22">
        <f t="shared" si="5"/>
        <v>0</v>
      </c>
      <c r="J344" s="40"/>
    </row>
    <row r="345" spans="1:10" x14ac:dyDescent="0.25">
      <c r="A345" s="1" t="s">
        <v>577</v>
      </c>
      <c r="B345" s="1" t="s">
        <v>246</v>
      </c>
      <c r="C345" s="22">
        <v>0</v>
      </c>
      <c r="D345" s="22">
        <v>-7189526.1900000004</v>
      </c>
      <c r="E345" s="22">
        <f t="shared" si="5"/>
        <v>-7189526.1900000004</v>
      </c>
      <c r="J345" s="40"/>
    </row>
    <row r="346" spans="1:10" x14ac:dyDescent="0.25">
      <c r="A346" s="1" t="s">
        <v>578</v>
      </c>
      <c r="B346" s="1" t="s">
        <v>831</v>
      </c>
      <c r="C346" s="22">
        <v>0</v>
      </c>
      <c r="D346" s="22">
        <v>-25498.75</v>
      </c>
      <c r="E346" s="22">
        <f t="shared" si="5"/>
        <v>-25498.75</v>
      </c>
      <c r="J346" s="40"/>
    </row>
    <row r="347" spans="1:10" x14ac:dyDescent="0.25">
      <c r="A347" s="1" t="s">
        <v>580</v>
      </c>
      <c r="B347" s="1" t="s">
        <v>581</v>
      </c>
      <c r="C347" s="22">
        <v>0</v>
      </c>
      <c r="D347" s="22">
        <v>-294672.45</v>
      </c>
      <c r="E347" s="22">
        <f t="shared" si="5"/>
        <v>-294672.45</v>
      </c>
      <c r="J347" s="40"/>
    </row>
    <row r="348" spans="1:10" x14ac:dyDescent="0.25">
      <c r="A348" s="1" t="s">
        <v>582</v>
      </c>
      <c r="B348" s="1" t="s">
        <v>583</v>
      </c>
      <c r="C348" s="22">
        <v>0</v>
      </c>
      <c r="D348" s="22">
        <v>0</v>
      </c>
      <c r="E348" s="22">
        <f t="shared" si="5"/>
        <v>0</v>
      </c>
      <c r="J348" s="40"/>
    </row>
    <row r="349" spans="1:10" x14ac:dyDescent="0.25">
      <c r="A349" s="1" t="s">
        <v>584</v>
      </c>
      <c r="B349" s="1" t="s">
        <v>585</v>
      </c>
      <c r="C349" s="22">
        <v>0</v>
      </c>
      <c r="D349" s="22">
        <v>-6550.01</v>
      </c>
      <c r="E349" s="22">
        <f t="shared" si="5"/>
        <v>-6550.01</v>
      </c>
      <c r="J349" s="40"/>
    </row>
    <row r="350" spans="1:10" x14ac:dyDescent="0.25">
      <c r="A350" s="1" t="s">
        <v>586</v>
      </c>
      <c r="B350" s="1" t="s">
        <v>587</v>
      </c>
      <c r="C350" s="22">
        <v>0</v>
      </c>
      <c r="D350" s="22">
        <v>-302907.17</v>
      </c>
      <c r="E350" s="22">
        <f t="shared" si="5"/>
        <v>-302907.17</v>
      </c>
      <c r="J350" s="40"/>
    </row>
    <row r="351" spans="1:10" x14ac:dyDescent="0.25">
      <c r="A351" s="1" t="s">
        <v>588</v>
      </c>
      <c r="B351" s="1" t="s">
        <v>589</v>
      </c>
      <c r="C351" s="22">
        <v>0</v>
      </c>
      <c r="D351" s="22">
        <v>0</v>
      </c>
      <c r="E351" s="22">
        <f t="shared" si="5"/>
        <v>0</v>
      </c>
      <c r="J351" s="40"/>
    </row>
    <row r="352" spans="1:10" x14ac:dyDescent="0.25">
      <c r="A352" s="1" t="s">
        <v>590</v>
      </c>
      <c r="B352" s="1" t="s">
        <v>591</v>
      </c>
      <c r="C352" s="22">
        <v>0</v>
      </c>
      <c r="D352" s="22">
        <v>0</v>
      </c>
      <c r="E352" s="22">
        <f t="shared" si="5"/>
        <v>0</v>
      </c>
      <c r="J352" s="40"/>
    </row>
    <row r="353" spans="1:10" x14ac:dyDescent="0.25">
      <c r="A353" s="1" t="s">
        <v>592</v>
      </c>
      <c r="B353" s="1" t="s">
        <v>593</v>
      </c>
      <c r="C353" s="22">
        <v>0</v>
      </c>
      <c r="D353" s="22">
        <v>0</v>
      </c>
      <c r="E353" s="22">
        <f t="shared" si="5"/>
        <v>0</v>
      </c>
      <c r="J353" s="40"/>
    </row>
    <row r="354" spans="1:10" x14ac:dyDescent="0.25">
      <c r="A354" s="1" t="s">
        <v>594</v>
      </c>
      <c r="B354" s="1" t="s">
        <v>847</v>
      </c>
      <c r="C354" s="22">
        <v>0</v>
      </c>
      <c r="D354" s="22">
        <v>0</v>
      </c>
      <c r="E354" s="22">
        <f t="shared" si="5"/>
        <v>0</v>
      </c>
      <c r="J354" s="40"/>
    </row>
    <row r="355" spans="1:10" x14ac:dyDescent="0.25">
      <c r="A355" s="1" t="s">
        <v>595</v>
      </c>
      <c r="B355" s="1" t="s">
        <v>99</v>
      </c>
      <c r="C355" s="22">
        <v>0</v>
      </c>
      <c r="D355" s="22">
        <v>-53047.48</v>
      </c>
      <c r="E355" s="22">
        <f t="shared" si="5"/>
        <v>-53047.48</v>
      </c>
      <c r="J355" s="40"/>
    </row>
    <row r="356" spans="1:10" x14ac:dyDescent="0.25">
      <c r="A356" s="1" t="s">
        <v>596</v>
      </c>
      <c r="B356" s="1" t="s">
        <v>259</v>
      </c>
      <c r="C356" s="22">
        <v>0</v>
      </c>
      <c r="D356" s="22">
        <v>-6902.08</v>
      </c>
      <c r="E356" s="22">
        <f t="shared" si="5"/>
        <v>-6902.08</v>
      </c>
      <c r="J356" s="40"/>
    </row>
    <row r="357" spans="1:10" x14ac:dyDescent="0.25">
      <c r="A357" s="1" t="s">
        <v>597</v>
      </c>
      <c r="B357" s="1" t="s">
        <v>832</v>
      </c>
      <c r="C357" s="22">
        <v>0</v>
      </c>
      <c r="D357" s="22">
        <v>-26221.13</v>
      </c>
      <c r="E357" s="22">
        <f t="shared" si="5"/>
        <v>-26221.13</v>
      </c>
      <c r="J357" s="40"/>
    </row>
    <row r="358" spans="1:10" x14ac:dyDescent="0.25">
      <c r="A358" s="1" t="s">
        <v>598</v>
      </c>
      <c r="B358" s="1" t="s">
        <v>267</v>
      </c>
      <c r="C358" s="22">
        <v>0</v>
      </c>
      <c r="D358" s="22">
        <v>0</v>
      </c>
      <c r="E358" s="22">
        <f t="shared" si="5"/>
        <v>0</v>
      </c>
      <c r="J358" s="40"/>
    </row>
    <row r="359" spans="1:10" x14ac:dyDescent="0.25">
      <c r="A359" s="1" t="s">
        <v>599</v>
      </c>
      <c r="B359" s="1" t="s">
        <v>600</v>
      </c>
      <c r="C359" s="22">
        <v>0</v>
      </c>
      <c r="D359" s="22">
        <v>0</v>
      </c>
      <c r="E359" s="22">
        <f t="shared" si="5"/>
        <v>0</v>
      </c>
      <c r="J359" s="40"/>
    </row>
    <row r="360" spans="1:10" x14ac:dyDescent="0.25">
      <c r="A360" s="1" t="s">
        <v>601</v>
      </c>
      <c r="B360" s="1" t="s">
        <v>106</v>
      </c>
      <c r="C360" s="22">
        <v>0</v>
      </c>
      <c r="D360" s="22">
        <v>0</v>
      </c>
      <c r="E360" s="22">
        <f t="shared" si="5"/>
        <v>0</v>
      </c>
      <c r="J360" s="40"/>
    </row>
    <row r="361" spans="1:10" x14ac:dyDescent="0.25">
      <c r="A361" s="1" t="s">
        <v>602</v>
      </c>
      <c r="B361" s="1" t="s">
        <v>603</v>
      </c>
      <c r="C361" s="22">
        <v>0</v>
      </c>
      <c r="D361" s="22">
        <v>0</v>
      </c>
      <c r="E361" s="22">
        <f t="shared" si="5"/>
        <v>0</v>
      </c>
      <c r="J361" s="40"/>
    </row>
    <row r="362" spans="1:10" x14ac:dyDescent="0.25">
      <c r="A362" s="1" t="s">
        <v>604</v>
      </c>
      <c r="B362" s="1" t="s">
        <v>110</v>
      </c>
      <c r="C362" s="22">
        <v>0</v>
      </c>
      <c r="D362" s="22">
        <v>0</v>
      </c>
      <c r="E362" s="22">
        <f t="shared" si="5"/>
        <v>0</v>
      </c>
      <c r="J362" s="40"/>
    </row>
    <row r="363" spans="1:10" x14ac:dyDescent="0.25">
      <c r="A363" s="1" t="s">
        <v>605</v>
      </c>
      <c r="B363" s="1" t="s">
        <v>112</v>
      </c>
      <c r="C363" s="22">
        <v>0</v>
      </c>
      <c r="D363" s="22">
        <v>0</v>
      </c>
      <c r="E363" s="22">
        <f t="shared" si="5"/>
        <v>0</v>
      </c>
      <c r="J363" s="40"/>
    </row>
    <row r="364" spans="1:10" x14ac:dyDescent="0.25">
      <c r="A364" s="1" t="s">
        <v>606</v>
      </c>
      <c r="B364" s="1" t="s">
        <v>114</v>
      </c>
      <c r="C364" s="22">
        <v>0</v>
      </c>
      <c r="D364" s="22">
        <v>0</v>
      </c>
      <c r="E364" s="22">
        <f t="shared" si="5"/>
        <v>0</v>
      </c>
      <c r="J364" s="40"/>
    </row>
    <row r="365" spans="1:10" x14ac:dyDescent="0.25">
      <c r="A365" s="1" t="s">
        <v>607</v>
      </c>
      <c r="B365" s="1" t="s">
        <v>101</v>
      </c>
      <c r="C365" s="22">
        <v>151760.79999999999</v>
      </c>
      <c r="D365" s="22">
        <v>0</v>
      </c>
      <c r="E365" s="22">
        <f t="shared" si="5"/>
        <v>151760.79999999999</v>
      </c>
      <c r="J365" s="40"/>
    </row>
    <row r="366" spans="1:10" x14ac:dyDescent="0.25">
      <c r="A366" s="1" t="s">
        <v>608</v>
      </c>
      <c r="B366" s="1" t="s">
        <v>104</v>
      </c>
      <c r="C366" s="22">
        <v>12536.9</v>
      </c>
      <c r="D366" s="22">
        <v>0</v>
      </c>
      <c r="E366" s="22">
        <f t="shared" si="5"/>
        <v>12536.9</v>
      </c>
      <c r="J366" s="40"/>
    </row>
    <row r="367" spans="1:10" x14ac:dyDescent="0.25">
      <c r="A367" s="1" t="s">
        <v>609</v>
      </c>
      <c r="B367" s="1" t="s">
        <v>106</v>
      </c>
      <c r="C367" s="22">
        <v>28084.22</v>
      </c>
      <c r="D367" s="22">
        <v>0</v>
      </c>
      <c r="E367" s="22">
        <f t="shared" si="5"/>
        <v>28084.22</v>
      </c>
      <c r="J367" s="40"/>
    </row>
    <row r="368" spans="1:10" x14ac:dyDescent="0.25">
      <c r="A368" s="1" t="s">
        <v>610</v>
      </c>
      <c r="B368" s="1" t="s">
        <v>108</v>
      </c>
      <c r="C368" s="22">
        <v>30727.05</v>
      </c>
      <c r="D368" s="22">
        <v>0</v>
      </c>
      <c r="E368" s="22">
        <f t="shared" si="5"/>
        <v>30727.05</v>
      </c>
      <c r="J368" s="40"/>
    </row>
    <row r="369" spans="1:10" x14ac:dyDescent="0.25">
      <c r="A369" s="1" t="s">
        <v>611</v>
      </c>
      <c r="B369" s="1" t="s">
        <v>110</v>
      </c>
      <c r="C369" s="22">
        <v>950.85</v>
      </c>
      <c r="D369" s="22">
        <v>0</v>
      </c>
      <c r="E369" s="22">
        <f t="shared" si="5"/>
        <v>950.85</v>
      </c>
      <c r="J369" s="40"/>
    </row>
    <row r="370" spans="1:10" x14ac:dyDescent="0.25">
      <c r="A370" s="1" t="s">
        <v>612</v>
      </c>
      <c r="B370" s="1" t="s">
        <v>112</v>
      </c>
      <c r="C370" s="22">
        <v>12460.06</v>
      </c>
      <c r="D370" s="22">
        <v>0</v>
      </c>
      <c r="E370" s="22">
        <f t="shared" si="5"/>
        <v>12460.06</v>
      </c>
      <c r="J370" s="40"/>
    </row>
    <row r="371" spans="1:10" x14ac:dyDescent="0.25">
      <c r="A371" s="1" t="s">
        <v>613</v>
      </c>
      <c r="B371" s="1" t="s">
        <v>114</v>
      </c>
      <c r="C371" s="22">
        <v>1.33</v>
      </c>
      <c r="D371" s="22">
        <v>0</v>
      </c>
      <c r="E371" s="22">
        <f t="shared" si="5"/>
        <v>1.33</v>
      </c>
      <c r="J371" s="40"/>
    </row>
    <row r="372" spans="1:10" x14ac:dyDescent="0.25">
      <c r="A372" s="1" t="s">
        <v>614</v>
      </c>
      <c r="B372" s="1" t="s">
        <v>276</v>
      </c>
      <c r="C372" s="22">
        <v>54.18</v>
      </c>
      <c r="D372" s="22">
        <v>0</v>
      </c>
      <c r="E372" s="22">
        <f t="shared" si="5"/>
        <v>54.18</v>
      </c>
      <c r="J372" s="40"/>
    </row>
    <row r="373" spans="1:10" x14ac:dyDescent="0.25">
      <c r="A373" s="1" t="s">
        <v>615</v>
      </c>
      <c r="B373" s="1" t="s">
        <v>278</v>
      </c>
      <c r="C373" s="22">
        <v>0</v>
      </c>
      <c r="D373" s="22">
        <v>0</v>
      </c>
      <c r="E373" s="22">
        <f t="shared" si="5"/>
        <v>0</v>
      </c>
      <c r="J373" s="40"/>
    </row>
    <row r="374" spans="1:10" x14ac:dyDescent="0.25">
      <c r="A374" s="1" t="s">
        <v>616</v>
      </c>
      <c r="B374" s="1" t="s">
        <v>280</v>
      </c>
      <c r="C374" s="22">
        <v>7458.45</v>
      </c>
      <c r="D374" s="22">
        <v>0</v>
      </c>
      <c r="E374" s="22">
        <f t="shared" si="5"/>
        <v>7458.45</v>
      </c>
      <c r="J374" s="40"/>
    </row>
    <row r="375" spans="1:10" x14ac:dyDescent="0.25">
      <c r="A375" s="1" t="s">
        <v>617</v>
      </c>
      <c r="B375" s="1" t="s">
        <v>120</v>
      </c>
      <c r="C375" s="22">
        <v>8796.9</v>
      </c>
      <c r="D375" s="22">
        <v>0</v>
      </c>
      <c r="E375" s="22">
        <f t="shared" si="5"/>
        <v>8796.9</v>
      </c>
      <c r="J375" s="40"/>
    </row>
    <row r="376" spans="1:10" x14ac:dyDescent="0.25">
      <c r="A376" s="1" t="s">
        <v>618</v>
      </c>
      <c r="B376" s="1" t="s">
        <v>124</v>
      </c>
      <c r="C376" s="22">
        <v>7418.57</v>
      </c>
      <c r="D376" s="22">
        <v>0</v>
      </c>
      <c r="E376" s="22">
        <f t="shared" si="5"/>
        <v>7418.57</v>
      </c>
      <c r="J376" s="40"/>
    </row>
    <row r="377" spans="1:10" x14ac:dyDescent="0.25">
      <c r="A377" s="1" t="s">
        <v>619</v>
      </c>
      <c r="B377" s="1" t="s">
        <v>126</v>
      </c>
      <c r="C377" s="22">
        <v>2475.38</v>
      </c>
      <c r="D377" s="22">
        <v>0</v>
      </c>
      <c r="E377" s="22">
        <f t="shared" si="5"/>
        <v>2475.38</v>
      </c>
      <c r="J377" s="40"/>
    </row>
    <row r="378" spans="1:10" x14ac:dyDescent="0.25">
      <c r="A378" s="1" t="s">
        <v>620</v>
      </c>
      <c r="B378" s="1" t="s">
        <v>287</v>
      </c>
      <c r="C378" s="22">
        <v>2533.35</v>
      </c>
      <c r="D378" s="22">
        <v>0</v>
      </c>
      <c r="E378" s="22">
        <f t="shared" si="5"/>
        <v>2533.35</v>
      </c>
      <c r="J378" s="40"/>
    </row>
    <row r="379" spans="1:10" x14ac:dyDescent="0.25">
      <c r="A379" s="1" t="s">
        <v>621</v>
      </c>
      <c r="B379" s="1" t="s">
        <v>132</v>
      </c>
      <c r="C379" s="22">
        <v>11654.73</v>
      </c>
      <c r="D379" s="22">
        <v>0</v>
      </c>
      <c r="E379" s="22">
        <f t="shared" si="5"/>
        <v>11654.73</v>
      </c>
      <c r="J379" s="40"/>
    </row>
    <row r="380" spans="1:10" x14ac:dyDescent="0.25">
      <c r="A380" s="1" t="s">
        <v>622</v>
      </c>
      <c r="B380" s="1" t="s">
        <v>291</v>
      </c>
      <c r="C380" s="22">
        <v>30.2</v>
      </c>
      <c r="D380" s="22">
        <v>0</v>
      </c>
      <c r="E380" s="22">
        <f t="shared" si="5"/>
        <v>30.2</v>
      </c>
      <c r="J380" s="40"/>
    </row>
    <row r="381" spans="1:10" x14ac:dyDescent="0.25">
      <c r="A381" s="1" t="s">
        <v>623</v>
      </c>
      <c r="B381" s="1" t="s">
        <v>295</v>
      </c>
      <c r="C381" s="22">
        <v>630.36</v>
      </c>
      <c r="D381" s="22">
        <v>0</v>
      </c>
      <c r="E381" s="22">
        <f t="shared" si="5"/>
        <v>630.36</v>
      </c>
      <c r="J381" s="40"/>
    </row>
    <row r="382" spans="1:10" x14ac:dyDescent="0.25">
      <c r="A382" s="1" t="s">
        <v>624</v>
      </c>
      <c r="B382" s="1" t="s">
        <v>297</v>
      </c>
      <c r="C382" s="22">
        <v>4518.87</v>
      </c>
      <c r="D382" s="22">
        <v>0</v>
      </c>
      <c r="E382" s="22">
        <f t="shared" si="5"/>
        <v>4518.87</v>
      </c>
      <c r="J382" s="40"/>
    </row>
    <row r="383" spans="1:10" x14ac:dyDescent="0.25">
      <c r="A383" s="1" t="s">
        <v>625</v>
      </c>
      <c r="B383" s="1" t="s">
        <v>303</v>
      </c>
      <c r="C383" s="22">
        <v>17254.36</v>
      </c>
      <c r="D383" s="22">
        <v>0</v>
      </c>
      <c r="E383" s="22">
        <f t="shared" si="5"/>
        <v>17254.36</v>
      </c>
      <c r="J383" s="40"/>
    </row>
    <row r="384" spans="1:10" x14ac:dyDescent="0.25">
      <c r="A384" s="1" t="s">
        <v>848</v>
      </c>
      <c r="B384" s="1" t="s">
        <v>771</v>
      </c>
      <c r="C384" s="22">
        <v>3168.9</v>
      </c>
      <c r="D384" s="22">
        <v>0</v>
      </c>
      <c r="E384" s="22">
        <f t="shared" si="5"/>
        <v>3168.9</v>
      </c>
      <c r="J384" s="40"/>
    </row>
    <row r="385" spans="1:10" x14ac:dyDescent="0.25">
      <c r="A385" s="1" t="s">
        <v>626</v>
      </c>
      <c r="B385" s="1" t="s">
        <v>627</v>
      </c>
      <c r="C385" s="22">
        <v>1163.1199999999999</v>
      </c>
      <c r="D385" s="22">
        <v>0</v>
      </c>
      <c r="E385" s="22">
        <f t="shared" si="5"/>
        <v>1163.1199999999999</v>
      </c>
      <c r="J385" s="40"/>
    </row>
    <row r="386" spans="1:10" x14ac:dyDescent="0.25">
      <c r="A386" s="1" t="s">
        <v>628</v>
      </c>
      <c r="B386" s="1" t="s">
        <v>311</v>
      </c>
      <c r="C386" s="22">
        <v>2275.4499999999998</v>
      </c>
      <c r="D386" s="22">
        <v>0</v>
      </c>
      <c r="E386" s="22">
        <f t="shared" si="5"/>
        <v>2275.4499999999998</v>
      </c>
      <c r="J386" s="40"/>
    </row>
    <row r="387" spans="1:10" x14ac:dyDescent="0.25">
      <c r="A387" s="1" t="s">
        <v>629</v>
      </c>
      <c r="B387" s="1" t="s">
        <v>313</v>
      </c>
      <c r="C387" s="22">
        <v>8486.24</v>
      </c>
      <c r="D387" s="22">
        <v>0</v>
      </c>
      <c r="E387" s="22">
        <f t="shared" si="5"/>
        <v>8486.24</v>
      </c>
      <c r="J387" s="40"/>
    </row>
    <row r="388" spans="1:10" x14ac:dyDescent="0.25">
      <c r="A388" s="1" t="s">
        <v>630</v>
      </c>
      <c r="B388" s="1" t="s">
        <v>498</v>
      </c>
      <c r="C388" s="22">
        <v>0</v>
      </c>
      <c r="D388" s="22">
        <v>0</v>
      </c>
      <c r="E388" s="22">
        <f t="shared" si="5"/>
        <v>0</v>
      </c>
      <c r="J388" s="40"/>
    </row>
    <row r="389" spans="1:10" x14ac:dyDescent="0.25">
      <c r="A389" s="1" t="s">
        <v>631</v>
      </c>
      <c r="B389" s="1" t="s">
        <v>322</v>
      </c>
      <c r="C389" s="22">
        <v>0</v>
      </c>
      <c r="D389" s="22">
        <v>0</v>
      </c>
      <c r="E389" s="22">
        <f t="shared" si="5"/>
        <v>0</v>
      </c>
      <c r="J389" s="40"/>
    </row>
    <row r="390" spans="1:10" x14ac:dyDescent="0.25">
      <c r="A390" s="1" t="s">
        <v>632</v>
      </c>
      <c r="B390" s="1" t="s">
        <v>633</v>
      </c>
      <c r="C390" s="22">
        <v>4397.32</v>
      </c>
      <c r="D390" s="22">
        <v>0</v>
      </c>
      <c r="E390" s="22">
        <f t="shared" ref="E390:E453" si="6">SUM(C390:D390)</f>
        <v>4397.32</v>
      </c>
      <c r="J390" s="40"/>
    </row>
    <row r="391" spans="1:10" x14ac:dyDescent="0.25">
      <c r="A391" s="1" t="s">
        <v>634</v>
      </c>
      <c r="B391" s="1" t="s">
        <v>329</v>
      </c>
      <c r="C391" s="22">
        <v>1698.22</v>
      </c>
      <c r="D391" s="22">
        <v>0</v>
      </c>
      <c r="E391" s="22">
        <f t="shared" si="6"/>
        <v>1698.22</v>
      </c>
      <c r="J391" s="40"/>
    </row>
    <row r="392" spans="1:10" x14ac:dyDescent="0.25">
      <c r="A392" s="1" t="s">
        <v>635</v>
      </c>
      <c r="B392" s="1" t="s">
        <v>636</v>
      </c>
      <c r="C392" s="22">
        <v>535.76</v>
      </c>
      <c r="D392" s="22">
        <v>0</v>
      </c>
      <c r="E392" s="22">
        <f t="shared" si="6"/>
        <v>535.76</v>
      </c>
      <c r="J392" s="40"/>
    </row>
    <row r="393" spans="1:10" x14ac:dyDescent="0.25">
      <c r="A393" s="1" t="s">
        <v>637</v>
      </c>
      <c r="B393" s="1" t="s">
        <v>162</v>
      </c>
      <c r="C393" s="22">
        <v>673.61</v>
      </c>
      <c r="D393" s="22">
        <v>0</v>
      </c>
      <c r="E393" s="22">
        <f t="shared" si="6"/>
        <v>673.61</v>
      </c>
      <c r="J393" s="40"/>
    </row>
    <row r="394" spans="1:10" x14ac:dyDescent="0.25">
      <c r="A394" s="1" t="s">
        <v>638</v>
      </c>
      <c r="B394" s="1" t="s">
        <v>348</v>
      </c>
      <c r="C394" s="22">
        <v>429.79</v>
      </c>
      <c r="D394" s="22">
        <v>0</v>
      </c>
      <c r="E394" s="22">
        <f t="shared" si="6"/>
        <v>429.79</v>
      </c>
      <c r="J394" s="40"/>
    </row>
    <row r="395" spans="1:10" x14ac:dyDescent="0.25">
      <c r="A395" s="1" t="s">
        <v>639</v>
      </c>
      <c r="B395" s="1" t="s">
        <v>130</v>
      </c>
      <c r="C395" s="22">
        <v>16938.63</v>
      </c>
      <c r="D395" s="22">
        <v>0</v>
      </c>
      <c r="E395" s="22">
        <f t="shared" si="6"/>
        <v>16938.63</v>
      </c>
      <c r="J395" s="40"/>
    </row>
    <row r="396" spans="1:10" x14ac:dyDescent="0.25">
      <c r="A396" s="1" t="s">
        <v>640</v>
      </c>
      <c r="B396" s="1" t="s">
        <v>132</v>
      </c>
      <c r="C396" s="22">
        <v>0</v>
      </c>
      <c r="D396" s="22">
        <v>0</v>
      </c>
      <c r="E396" s="22">
        <f t="shared" si="6"/>
        <v>0</v>
      </c>
      <c r="J396" s="40"/>
    </row>
    <row r="397" spans="1:10" x14ac:dyDescent="0.25">
      <c r="A397" s="1" t="s">
        <v>641</v>
      </c>
      <c r="B397" s="1" t="s">
        <v>642</v>
      </c>
      <c r="C397" s="22">
        <v>4105.51</v>
      </c>
      <c r="D397" s="22">
        <v>0</v>
      </c>
      <c r="E397" s="22">
        <f t="shared" si="6"/>
        <v>4105.51</v>
      </c>
      <c r="J397" s="40"/>
    </row>
    <row r="398" spans="1:10" x14ac:dyDescent="0.25">
      <c r="A398" s="1" t="s">
        <v>643</v>
      </c>
      <c r="B398" s="1" t="s">
        <v>1175</v>
      </c>
      <c r="C398" s="22">
        <v>0</v>
      </c>
      <c r="D398" s="22">
        <v>0</v>
      </c>
      <c r="E398" s="22">
        <f t="shared" si="6"/>
        <v>0</v>
      </c>
      <c r="J398" s="40"/>
    </row>
    <row r="399" spans="1:10" x14ac:dyDescent="0.25">
      <c r="A399" s="1" t="s">
        <v>645</v>
      </c>
      <c r="B399" s="1" t="s">
        <v>646</v>
      </c>
      <c r="C399" s="22">
        <v>1844.07</v>
      </c>
      <c r="D399" s="22">
        <v>0</v>
      </c>
      <c r="E399" s="22">
        <f t="shared" si="6"/>
        <v>1844.07</v>
      </c>
      <c r="J399" s="40"/>
    </row>
    <row r="400" spans="1:10" x14ac:dyDescent="0.25">
      <c r="A400" s="1" t="s">
        <v>647</v>
      </c>
      <c r="B400" s="1" t="s">
        <v>303</v>
      </c>
      <c r="C400" s="22">
        <v>0</v>
      </c>
      <c r="D400" s="22">
        <v>0</v>
      </c>
      <c r="E400" s="22">
        <f t="shared" si="6"/>
        <v>0</v>
      </c>
      <c r="J400" s="40"/>
    </row>
    <row r="401" spans="1:10" x14ac:dyDescent="0.25">
      <c r="A401" s="1" t="s">
        <v>648</v>
      </c>
      <c r="B401" s="1" t="s">
        <v>432</v>
      </c>
      <c r="C401" s="22">
        <v>16574.21</v>
      </c>
      <c r="D401" s="22">
        <v>0</v>
      </c>
      <c r="E401" s="22">
        <f t="shared" si="6"/>
        <v>16574.21</v>
      </c>
      <c r="J401" s="40"/>
    </row>
    <row r="402" spans="1:10" x14ac:dyDescent="0.25">
      <c r="A402" s="1" t="s">
        <v>649</v>
      </c>
      <c r="B402" s="1" t="s">
        <v>650</v>
      </c>
      <c r="C402" s="22">
        <v>45424.09</v>
      </c>
      <c r="D402" s="22">
        <v>0</v>
      </c>
      <c r="E402" s="22">
        <f t="shared" si="6"/>
        <v>45424.09</v>
      </c>
      <c r="J402" s="40"/>
    </row>
    <row r="403" spans="1:10" x14ac:dyDescent="0.25">
      <c r="A403" s="1" t="s">
        <v>651</v>
      </c>
      <c r="B403" s="1" t="s">
        <v>652</v>
      </c>
      <c r="C403" s="22">
        <v>0</v>
      </c>
      <c r="D403" s="22">
        <v>0</v>
      </c>
      <c r="E403" s="22">
        <f t="shared" si="6"/>
        <v>0</v>
      </c>
      <c r="J403" s="40"/>
    </row>
    <row r="404" spans="1:10" x14ac:dyDescent="0.25">
      <c r="A404" s="1" t="s">
        <v>653</v>
      </c>
      <c r="B404" s="1" t="s">
        <v>654</v>
      </c>
      <c r="C404" s="22">
        <v>14203.59</v>
      </c>
      <c r="D404" s="22">
        <v>0</v>
      </c>
      <c r="E404" s="22">
        <f t="shared" si="6"/>
        <v>14203.59</v>
      </c>
      <c r="J404" s="40"/>
    </row>
    <row r="405" spans="1:10" x14ac:dyDescent="0.25">
      <c r="A405" s="1" t="s">
        <v>655</v>
      </c>
      <c r="B405" s="1" t="s">
        <v>1176</v>
      </c>
      <c r="C405" s="22">
        <v>0</v>
      </c>
      <c r="D405" s="22">
        <v>0</v>
      </c>
      <c r="E405" s="22">
        <f t="shared" si="6"/>
        <v>0</v>
      </c>
      <c r="J405" s="40"/>
    </row>
    <row r="406" spans="1:10" x14ac:dyDescent="0.25">
      <c r="A406" s="1" t="s">
        <v>657</v>
      </c>
      <c r="B406" s="1" t="s">
        <v>658</v>
      </c>
      <c r="C406" s="22">
        <v>5515</v>
      </c>
      <c r="D406" s="22">
        <v>0</v>
      </c>
      <c r="E406" s="22">
        <f t="shared" si="6"/>
        <v>5515</v>
      </c>
      <c r="J406" s="40"/>
    </row>
    <row r="407" spans="1:10" x14ac:dyDescent="0.25">
      <c r="A407" s="1" t="s">
        <v>659</v>
      </c>
      <c r="B407" s="1" t="s">
        <v>537</v>
      </c>
      <c r="C407" s="22">
        <v>17343.84</v>
      </c>
      <c r="D407" s="22">
        <v>0</v>
      </c>
      <c r="E407" s="22">
        <f t="shared" si="6"/>
        <v>17343.84</v>
      </c>
      <c r="J407" s="40"/>
    </row>
    <row r="408" spans="1:10" x14ac:dyDescent="0.25">
      <c r="A408" s="1" t="s">
        <v>660</v>
      </c>
      <c r="B408" s="1" t="s">
        <v>661</v>
      </c>
      <c r="C408" s="22">
        <v>0</v>
      </c>
      <c r="D408" s="22">
        <v>0</v>
      </c>
      <c r="E408" s="22">
        <f t="shared" si="6"/>
        <v>0</v>
      </c>
      <c r="J408" s="40"/>
    </row>
    <row r="409" spans="1:10" x14ac:dyDescent="0.25">
      <c r="A409" s="1" t="s">
        <v>662</v>
      </c>
      <c r="B409" s="1" t="s">
        <v>663</v>
      </c>
      <c r="C409" s="22">
        <v>0</v>
      </c>
      <c r="D409" s="22">
        <v>0</v>
      </c>
      <c r="E409" s="22">
        <f t="shared" si="6"/>
        <v>0</v>
      </c>
      <c r="J409" s="40"/>
    </row>
    <row r="410" spans="1:10" x14ac:dyDescent="0.25">
      <c r="A410" s="1" t="s">
        <v>664</v>
      </c>
      <c r="B410" s="1" t="s">
        <v>665</v>
      </c>
      <c r="C410" s="22">
        <v>0</v>
      </c>
      <c r="D410" s="22">
        <v>0</v>
      </c>
      <c r="E410" s="22">
        <f t="shared" si="6"/>
        <v>0</v>
      </c>
      <c r="J410" s="40"/>
    </row>
    <row r="411" spans="1:10" x14ac:dyDescent="0.25">
      <c r="A411" s="1" t="s">
        <v>666</v>
      </c>
      <c r="B411" s="1" t="s">
        <v>667</v>
      </c>
      <c r="C411" s="22">
        <v>0</v>
      </c>
      <c r="D411" s="22">
        <v>0</v>
      </c>
      <c r="E411" s="22">
        <f t="shared" si="6"/>
        <v>0</v>
      </c>
      <c r="J411" s="40"/>
    </row>
    <row r="412" spans="1:10" x14ac:dyDescent="0.25">
      <c r="A412" s="1" t="s">
        <v>668</v>
      </c>
      <c r="B412" s="1" t="s">
        <v>327</v>
      </c>
      <c r="C412" s="22">
        <v>0</v>
      </c>
      <c r="D412" s="22">
        <v>0</v>
      </c>
      <c r="E412" s="22">
        <f t="shared" si="6"/>
        <v>0</v>
      </c>
      <c r="J412" s="40"/>
    </row>
    <row r="413" spans="1:10" x14ac:dyDescent="0.25">
      <c r="A413" s="1" t="s">
        <v>669</v>
      </c>
      <c r="B413" s="1" t="s">
        <v>43</v>
      </c>
      <c r="C413" s="22">
        <v>56157.7</v>
      </c>
      <c r="D413" s="22">
        <v>0</v>
      </c>
      <c r="E413" s="22">
        <f t="shared" si="6"/>
        <v>56157.7</v>
      </c>
      <c r="J413" s="40"/>
    </row>
    <row r="414" spans="1:10" x14ac:dyDescent="0.25">
      <c r="A414" s="1" t="s">
        <v>670</v>
      </c>
      <c r="B414" s="1" t="s">
        <v>671</v>
      </c>
      <c r="C414" s="22">
        <v>0</v>
      </c>
      <c r="D414" s="22">
        <v>0</v>
      </c>
      <c r="E414" s="22">
        <f t="shared" si="6"/>
        <v>0</v>
      </c>
      <c r="J414" s="40"/>
    </row>
    <row r="415" spans="1:10" x14ac:dyDescent="0.25">
      <c r="A415" s="1" t="s">
        <v>672</v>
      </c>
      <c r="B415" s="1" t="s">
        <v>344</v>
      </c>
      <c r="C415" s="22">
        <v>24073</v>
      </c>
      <c r="D415" s="22">
        <v>0</v>
      </c>
      <c r="E415" s="22">
        <f t="shared" si="6"/>
        <v>24073</v>
      </c>
      <c r="J415" s="40"/>
    </row>
    <row r="416" spans="1:10" x14ac:dyDescent="0.25">
      <c r="A416" s="1" t="s">
        <v>673</v>
      </c>
      <c r="B416" s="1" t="s">
        <v>674</v>
      </c>
      <c r="C416" s="22">
        <v>605022.92000000004</v>
      </c>
      <c r="D416" s="22">
        <v>0</v>
      </c>
      <c r="E416" s="22">
        <f t="shared" si="6"/>
        <v>605022.92000000004</v>
      </c>
      <c r="J416" s="40"/>
    </row>
    <row r="417" spans="1:10" x14ac:dyDescent="0.25">
      <c r="A417" s="1" t="s">
        <v>675</v>
      </c>
      <c r="B417" s="1" t="s">
        <v>348</v>
      </c>
      <c r="C417" s="22">
        <v>0</v>
      </c>
      <c r="D417" s="22">
        <v>0</v>
      </c>
      <c r="E417" s="22">
        <f t="shared" si="6"/>
        <v>0</v>
      </c>
      <c r="J417" s="40"/>
    </row>
    <row r="418" spans="1:10" x14ac:dyDescent="0.25">
      <c r="A418" s="1" t="s">
        <v>676</v>
      </c>
      <c r="B418" s="1" t="s">
        <v>164</v>
      </c>
      <c r="C418" s="22">
        <v>0</v>
      </c>
      <c r="D418" s="22">
        <v>0</v>
      </c>
      <c r="E418" s="22">
        <f t="shared" si="6"/>
        <v>0</v>
      </c>
      <c r="J418" s="40"/>
    </row>
    <row r="419" spans="1:10" x14ac:dyDescent="0.25">
      <c r="A419" s="1" t="s">
        <v>677</v>
      </c>
      <c r="B419" s="1" t="s">
        <v>49</v>
      </c>
      <c r="C419" s="22">
        <v>402077.56</v>
      </c>
      <c r="D419" s="22">
        <v>0</v>
      </c>
      <c r="E419" s="22">
        <f t="shared" si="6"/>
        <v>402077.56</v>
      </c>
      <c r="J419" s="40"/>
    </row>
    <row r="420" spans="1:10" x14ac:dyDescent="0.25">
      <c r="A420" s="1" t="s">
        <v>678</v>
      </c>
      <c r="B420" s="1" t="s">
        <v>679</v>
      </c>
      <c r="C420" s="22">
        <v>100275.37</v>
      </c>
      <c r="D420" s="22">
        <v>0</v>
      </c>
      <c r="E420" s="22">
        <f t="shared" si="6"/>
        <v>100275.37</v>
      </c>
      <c r="J420" s="40"/>
    </row>
    <row r="421" spans="1:10" x14ac:dyDescent="0.25">
      <c r="A421" s="1" t="s">
        <v>680</v>
      </c>
      <c r="B421" s="1" t="s">
        <v>681</v>
      </c>
      <c r="C421" s="22">
        <v>1401240.44</v>
      </c>
      <c r="D421" s="22">
        <v>0</v>
      </c>
      <c r="E421" s="22">
        <f t="shared" si="6"/>
        <v>1401240.44</v>
      </c>
      <c r="J421" s="40"/>
    </row>
    <row r="422" spans="1:10" x14ac:dyDescent="0.25">
      <c r="A422" s="1" t="s">
        <v>849</v>
      </c>
      <c r="B422" s="1" t="s">
        <v>850</v>
      </c>
      <c r="C422" s="22">
        <v>0</v>
      </c>
      <c r="D422" s="22">
        <v>0</v>
      </c>
      <c r="E422" s="22">
        <f t="shared" si="6"/>
        <v>0</v>
      </c>
      <c r="J422" s="40"/>
    </row>
    <row r="423" spans="1:10" x14ac:dyDescent="0.25">
      <c r="A423" s="1" t="s">
        <v>682</v>
      </c>
      <c r="B423" s="1" t="s">
        <v>54</v>
      </c>
      <c r="C423" s="22">
        <v>63504.83</v>
      </c>
      <c r="D423" s="22">
        <v>0</v>
      </c>
      <c r="E423" s="22">
        <f t="shared" si="6"/>
        <v>63504.83</v>
      </c>
      <c r="J423" s="40"/>
    </row>
    <row r="424" spans="1:10" x14ac:dyDescent="0.25">
      <c r="A424" s="1" t="s">
        <v>683</v>
      </c>
      <c r="B424" s="1" t="s">
        <v>179</v>
      </c>
      <c r="C424" s="22">
        <v>0</v>
      </c>
      <c r="D424" s="22">
        <v>-5000</v>
      </c>
      <c r="E424" s="22">
        <f t="shared" si="6"/>
        <v>-5000</v>
      </c>
      <c r="J424" s="40"/>
    </row>
    <row r="425" spans="1:10" x14ac:dyDescent="0.25">
      <c r="A425" s="1" t="s">
        <v>684</v>
      </c>
      <c r="B425" s="1" t="s">
        <v>531</v>
      </c>
      <c r="C425" s="22">
        <v>0</v>
      </c>
      <c r="D425" s="22">
        <v>0</v>
      </c>
      <c r="E425" s="22">
        <f t="shared" si="6"/>
        <v>0</v>
      </c>
      <c r="J425" s="40"/>
    </row>
    <row r="426" spans="1:10" x14ac:dyDescent="0.25">
      <c r="A426" s="1" t="s">
        <v>685</v>
      </c>
      <c r="B426" s="1" t="s">
        <v>186</v>
      </c>
      <c r="C426" s="22">
        <v>203906.5</v>
      </c>
      <c r="D426" s="22">
        <v>0</v>
      </c>
      <c r="E426" s="22">
        <f t="shared" si="6"/>
        <v>203906.5</v>
      </c>
      <c r="J426" s="40"/>
    </row>
    <row r="427" spans="1:10" x14ac:dyDescent="0.25">
      <c r="A427" s="1" t="s">
        <v>686</v>
      </c>
      <c r="B427" s="1" t="s">
        <v>687</v>
      </c>
      <c r="C427" s="22">
        <v>5511999.0999999996</v>
      </c>
      <c r="D427" s="22">
        <v>0</v>
      </c>
      <c r="E427" s="22">
        <f t="shared" si="6"/>
        <v>5511999.0999999996</v>
      </c>
      <c r="J427" s="40"/>
    </row>
    <row r="428" spans="1:10" x14ac:dyDescent="0.25">
      <c r="A428" s="1" t="s">
        <v>688</v>
      </c>
      <c r="B428" s="1" t="s">
        <v>689</v>
      </c>
      <c r="C428" s="22">
        <v>0</v>
      </c>
      <c r="D428" s="22">
        <v>0</v>
      </c>
      <c r="E428" s="22">
        <f t="shared" si="6"/>
        <v>0</v>
      </c>
      <c r="J428" s="40"/>
    </row>
    <row r="429" spans="1:10" x14ac:dyDescent="0.25">
      <c r="A429" s="1" t="s">
        <v>690</v>
      </c>
      <c r="B429" s="1" t="s">
        <v>547</v>
      </c>
      <c r="C429" s="22">
        <v>9420291.2899999991</v>
      </c>
      <c r="D429" s="22">
        <v>0</v>
      </c>
      <c r="E429" s="22">
        <f t="shared" si="6"/>
        <v>9420291.2899999991</v>
      </c>
      <c r="J429" s="40"/>
    </row>
    <row r="430" spans="1:10" x14ac:dyDescent="0.25">
      <c r="A430" s="1" t="s">
        <v>691</v>
      </c>
      <c r="B430" s="1" t="s">
        <v>198</v>
      </c>
      <c r="C430" s="22">
        <v>0</v>
      </c>
      <c r="D430" s="22">
        <v>-1985366.17</v>
      </c>
      <c r="E430" s="22">
        <f t="shared" si="6"/>
        <v>-1985366.17</v>
      </c>
      <c r="J430" s="40"/>
    </row>
    <row r="431" spans="1:10" x14ac:dyDescent="0.25">
      <c r="A431" s="1" t="s">
        <v>851</v>
      </c>
      <c r="B431" s="1" t="s">
        <v>201</v>
      </c>
      <c r="C431" s="22">
        <v>35133</v>
      </c>
      <c r="D431" s="22">
        <v>0</v>
      </c>
      <c r="E431" s="22">
        <f t="shared" si="6"/>
        <v>35133</v>
      </c>
      <c r="J431" s="40"/>
    </row>
    <row r="432" spans="1:10" x14ac:dyDescent="0.25">
      <c r="A432" s="1" t="s">
        <v>692</v>
      </c>
      <c r="B432" s="1" t="s">
        <v>70</v>
      </c>
      <c r="C432" s="22">
        <v>819.67</v>
      </c>
      <c r="D432" s="22">
        <v>0</v>
      </c>
      <c r="E432" s="22">
        <f t="shared" si="6"/>
        <v>819.67</v>
      </c>
      <c r="J432" s="40"/>
    </row>
    <row r="433" spans="1:10" x14ac:dyDescent="0.25">
      <c r="A433" s="1" t="s">
        <v>693</v>
      </c>
      <c r="B433" s="1" t="s">
        <v>205</v>
      </c>
      <c r="C433" s="22">
        <v>0</v>
      </c>
      <c r="D433" s="22">
        <v>-518952.26</v>
      </c>
      <c r="E433" s="22">
        <f t="shared" si="6"/>
        <v>-518952.26</v>
      </c>
      <c r="J433" s="40"/>
    </row>
    <row r="434" spans="1:10" x14ac:dyDescent="0.25">
      <c r="A434" s="1" t="s">
        <v>852</v>
      </c>
      <c r="B434" s="1" t="s">
        <v>844</v>
      </c>
      <c r="C434" s="22">
        <v>0</v>
      </c>
      <c r="D434" s="22">
        <v>-12256.3</v>
      </c>
      <c r="E434" s="22">
        <f t="shared" si="6"/>
        <v>-12256.3</v>
      </c>
      <c r="J434" s="40"/>
    </row>
    <row r="435" spans="1:10" x14ac:dyDescent="0.25">
      <c r="A435" s="1" t="s">
        <v>694</v>
      </c>
      <c r="B435" s="1" t="s">
        <v>73</v>
      </c>
      <c r="C435" s="22">
        <v>0</v>
      </c>
      <c r="D435" s="22">
        <v>-13842.14</v>
      </c>
      <c r="E435" s="22">
        <f t="shared" si="6"/>
        <v>-13842.14</v>
      </c>
      <c r="J435" s="40"/>
    </row>
    <row r="436" spans="1:10" x14ac:dyDescent="0.25">
      <c r="A436" s="1" t="s">
        <v>695</v>
      </c>
      <c r="B436" s="1" t="s">
        <v>208</v>
      </c>
      <c r="C436" s="22">
        <v>0</v>
      </c>
      <c r="D436" s="22">
        <v>-2276.37</v>
      </c>
      <c r="E436" s="22">
        <f t="shared" si="6"/>
        <v>-2276.37</v>
      </c>
      <c r="J436" s="40"/>
    </row>
    <row r="437" spans="1:10" x14ac:dyDescent="0.25">
      <c r="A437" s="1" t="s">
        <v>696</v>
      </c>
      <c r="B437" s="1" t="s">
        <v>210</v>
      </c>
      <c r="C437" s="22">
        <v>0</v>
      </c>
      <c r="D437" s="22">
        <v>-1927.22</v>
      </c>
      <c r="E437" s="22">
        <f t="shared" si="6"/>
        <v>-1927.22</v>
      </c>
      <c r="J437" s="40"/>
    </row>
    <row r="438" spans="1:10" x14ac:dyDescent="0.25">
      <c r="A438" s="1" t="s">
        <v>853</v>
      </c>
      <c r="B438" s="1" t="s">
        <v>79</v>
      </c>
      <c r="C438" s="22">
        <v>0</v>
      </c>
      <c r="D438" s="22">
        <v>-20096</v>
      </c>
      <c r="E438" s="22">
        <f t="shared" si="6"/>
        <v>-20096</v>
      </c>
      <c r="J438" s="40"/>
    </row>
    <row r="439" spans="1:10" x14ac:dyDescent="0.25">
      <c r="A439" s="1" t="s">
        <v>854</v>
      </c>
      <c r="B439" s="1" t="s">
        <v>213</v>
      </c>
      <c r="C439" s="22">
        <v>0</v>
      </c>
      <c r="D439" s="22">
        <v>-383</v>
      </c>
      <c r="E439" s="22">
        <f t="shared" si="6"/>
        <v>-383</v>
      </c>
      <c r="J439" s="40"/>
    </row>
    <row r="440" spans="1:10" x14ac:dyDescent="0.25">
      <c r="A440" s="1" t="s">
        <v>697</v>
      </c>
      <c r="B440" s="1" t="s">
        <v>215</v>
      </c>
      <c r="C440" s="22">
        <v>12.16</v>
      </c>
      <c r="D440" s="22">
        <v>0</v>
      </c>
      <c r="E440" s="22">
        <f t="shared" si="6"/>
        <v>12.16</v>
      </c>
      <c r="J440" s="40"/>
    </row>
    <row r="441" spans="1:10" x14ac:dyDescent="0.25">
      <c r="A441" s="1" t="s">
        <v>698</v>
      </c>
      <c r="B441" s="1" t="s">
        <v>217</v>
      </c>
      <c r="C441" s="22">
        <v>0</v>
      </c>
      <c r="D441" s="22">
        <v>0</v>
      </c>
      <c r="E441" s="22">
        <f t="shared" si="6"/>
        <v>0</v>
      </c>
      <c r="J441" s="40"/>
    </row>
    <row r="442" spans="1:10" x14ac:dyDescent="0.25">
      <c r="A442" s="1" t="s">
        <v>699</v>
      </c>
      <c r="B442" s="1" t="s">
        <v>219</v>
      </c>
      <c r="C442" s="22">
        <v>0</v>
      </c>
      <c r="D442" s="22">
        <v>-22.86</v>
      </c>
      <c r="E442" s="22">
        <f t="shared" si="6"/>
        <v>-22.86</v>
      </c>
      <c r="J442" s="40"/>
    </row>
    <row r="443" spans="1:10" x14ac:dyDescent="0.25">
      <c r="A443" s="1" t="s">
        <v>700</v>
      </c>
      <c r="B443" s="1" t="s">
        <v>221</v>
      </c>
      <c r="C443" s="22">
        <v>0</v>
      </c>
      <c r="D443" s="22">
        <v>-1810745.67</v>
      </c>
      <c r="E443" s="22">
        <f t="shared" si="6"/>
        <v>-1810745.67</v>
      </c>
      <c r="J443" s="40"/>
    </row>
    <row r="444" spans="1:10" x14ac:dyDescent="0.25">
      <c r="A444" s="1" t="s">
        <v>701</v>
      </c>
      <c r="B444" s="1" t="s">
        <v>89</v>
      </c>
      <c r="C444" s="22">
        <v>0</v>
      </c>
      <c r="D444" s="22">
        <v>-11853.26</v>
      </c>
      <c r="E444" s="22">
        <f t="shared" si="6"/>
        <v>-11853.26</v>
      </c>
      <c r="J444" s="40"/>
    </row>
    <row r="445" spans="1:10" x14ac:dyDescent="0.25">
      <c r="A445" s="1" t="s">
        <v>702</v>
      </c>
      <c r="B445" s="1" t="s">
        <v>224</v>
      </c>
      <c r="C445" s="22">
        <v>0</v>
      </c>
      <c r="D445" s="22">
        <v>-13891</v>
      </c>
      <c r="E445" s="22">
        <f t="shared" si="6"/>
        <v>-13891</v>
      </c>
      <c r="J445" s="40"/>
    </row>
    <row r="446" spans="1:10" x14ac:dyDescent="0.25">
      <c r="A446" s="1" t="s">
        <v>703</v>
      </c>
      <c r="B446" s="1" t="s">
        <v>91</v>
      </c>
      <c r="C446" s="22">
        <v>0</v>
      </c>
      <c r="D446" s="22">
        <v>0</v>
      </c>
      <c r="E446" s="22">
        <f t="shared" si="6"/>
        <v>0</v>
      </c>
      <c r="J446" s="40"/>
    </row>
    <row r="447" spans="1:10" x14ac:dyDescent="0.25">
      <c r="A447" s="1" t="s">
        <v>704</v>
      </c>
      <c r="B447" s="1" t="s">
        <v>705</v>
      </c>
      <c r="C447" s="22">
        <v>0</v>
      </c>
      <c r="D447" s="22">
        <v>0</v>
      </c>
      <c r="E447" s="22">
        <f t="shared" si="6"/>
        <v>0</v>
      </c>
      <c r="J447" s="40"/>
    </row>
    <row r="448" spans="1:10" x14ac:dyDescent="0.25">
      <c r="A448" s="1" t="s">
        <v>706</v>
      </c>
      <c r="B448" s="1" t="s">
        <v>231</v>
      </c>
      <c r="C448" s="22">
        <v>0</v>
      </c>
      <c r="D448" s="22">
        <v>0</v>
      </c>
      <c r="E448" s="22">
        <f t="shared" si="6"/>
        <v>0</v>
      </c>
      <c r="J448" s="40"/>
    </row>
    <row r="449" spans="1:10" x14ac:dyDescent="0.25">
      <c r="A449" s="1" t="s">
        <v>707</v>
      </c>
      <c r="B449" s="1" t="s">
        <v>235</v>
      </c>
      <c r="C449" s="22">
        <v>0</v>
      </c>
      <c r="D449" s="22">
        <v>0</v>
      </c>
      <c r="E449" s="22">
        <f t="shared" si="6"/>
        <v>0</v>
      </c>
      <c r="J449" s="40"/>
    </row>
    <row r="450" spans="1:10" x14ac:dyDescent="0.25">
      <c r="A450" s="1" t="s">
        <v>708</v>
      </c>
      <c r="B450" s="1" t="s">
        <v>709</v>
      </c>
      <c r="C450" s="22">
        <v>0</v>
      </c>
      <c r="D450" s="22">
        <v>-170325</v>
      </c>
      <c r="E450" s="22">
        <f t="shared" si="6"/>
        <v>-170325</v>
      </c>
      <c r="J450" s="40"/>
    </row>
    <row r="451" spans="1:10" x14ac:dyDescent="0.25">
      <c r="A451" s="1" t="s">
        <v>855</v>
      </c>
      <c r="B451" s="1" t="s">
        <v>856</v>
      </c>
      <c r="C451" s="22">
        <v>0</v>
      </c>
      <c r="D451" s="22">
        <v>-71000</v>
      </c>
      <c r="E451" s="22">
        <f t="shared" si="6"/>
        <v>-71000</v>
      </c>
      <c r="J451" s="40"/>
    </row>
    <row r="452" spans="1:10" x14ac:dyDescent="0.25">
      <c r="A452" s="1" t="s">
        <v>710</v>
      </c>
      <c r="B452" s="1" t="s">
        <v>237</v>
      </c>
      <c r="C452" s="22">
        <v>0</v>
      </c>
      <c r="D452" s="22">
        <v>0</v>
      </c>
      <c r="E452" s="22">
        <f t="shared" si="6"/>
        <v>0</v>
      </c>
      <c r="J452" s="40"/>
    </row>
    <row r="453" spans="1:10" x14ac:dyDescent="0.25">
      <c r="A453" s="1" t="s">
        <v>711</v>
      </c>
      <c r="B453" s="1" t="s">
        <v>235</v>
      </c>
      <c r="C453" s="22">
        <v>0</v>
      </c>
      <c r="D453" s="22">
        <v>0</v>
      </c>
      <c r="E453" s="22">
        <f t="shared" si="6"/>
        <v>0</v>
      </c>
      <c r="J453" s="40"/>
    </row>
    <row r="454" spans="1:10" x14ac:dyDescent="0.25">
      <c r="A454" s="1" t="s">
        <v>712</v>
      </c>
      <c r="B454" s="1" t="s">
        <v>459</v>
      </c>
      <c r="C454" s="22">
        <v>0</v>
      </c>
      <c r="D454" s="22">
        <v>0</v>
      </c>
      <c r="E454" s="22">
        <f t="shared" ref="E454:E517" si="7">SUM(C454:D454)</f>
        <v>0</v>
      </c>
      <c r="J454" s="40"/>
    </row>
    <row r="455" spans="1:10" x14ac:dyDescent="0.25">
      <c r="A455" s="1" t="s">
        <v>713</v>
      </c>
      <c r="B455" s="1" t="s">
        <v>235</v>
      </c>
      <c r="C455" s="22">
        <v>0</v>
      </c>
      <c r="D455" s="22">
        <v>0</v>
      </c>
      <c r="E455" s="22">
        <f t="shared" si="7"/>
        <v>0</v>
      </c>
      <c r="J455" s="40"/>
    </row>
    <row r="456" spans="1:10" x14ac:dyDescent="0.25">
      <c r="A456" s="1" t="s">
        <v>714</v>
      </c>
      <c r="B456" s="1" t="s">
        <v>575</v>
      </c>
      <c r="C456" s="22">
        <v>0</v>
      </c>
      <c r="D456" s="22">
        <v>0</v>
      </c>
      <c r="E456" s="22">
        <f t="shared" si="7"/>
        <v>0</v>
      </c>
      <c r="J456" s="40"/>
    </row>
    <row r="457" spans="1:10" x14ac:dyDescent="0.25">
      <c r="A457" s="1" t="s">
        <v>715</v>
      </c>
      <c r="B457" s="1" t="s">
        <v>235</v>
      </c>
      <c r="C457" s="22">
        <v>0</v>
      </c>
      <c r="D457" s="22">
        <v>0</v>
      </c>
      <c r="E457" s="22">
        <f t="shared" si="7"/>
        <v>0</v>
      </c>
      <c r="J457" s="40"/>
    </row>
    <row r="458" spans="1:10" x14ac:dyDescent="0.25">
      <c r="A458" s="1" t="s">
        <v>716</v>
      </c>
      <c r="B458" s="1" t="s">
        <v>246</v>
      </c>
      <c r="C458" s="22">
        <v>0</v>
      </c>
      <c r="D458" s="22">
        <v>-13671135.439999999</v>
      </c>
      <c r="E458" s="22">
        <f t="shared" si="7"/>
        <v>-13671135.439999999</v>
      </c>
      <c r="J458" s="40"/>
    </row>
    <row r="459" spans="1:10" x14ac:dyDescent="0.25">
      <c r="A459" s="1" t="s">
        <v>717</v>
      </c>
      <c r="B459" s="1" t="s">
        <v>831</v>
      </c>
      <c r="C459" s="22">
        <v>0</v>
      </c>
      <c r="D459" s="22">
        <v>0</v>
      </c>
      <c r="E459" s="22">
        <f t="shared" si="7"/>
        <v>0</v>
      </c>
      <c r="J459" s="40"/>
    </row>
    <row r="460" spans="1:10" x14ac:dyDescent="0.25">
      <c r="A460" s="1" t="s">
        <v>719</v>
      </c>
      <c r="B460" s="1" t="s">
        <v>720</v>
      </c>
      <c r="C460" s="22">
        <v>0</v>
      </c>
      <c r="D460" s="22">
        <v>-515578.6</v>
      </c>
      <c r="E460" s="22">
        <f t="shared" si="7"/>
        <v>-515578.6</v>
      </c>
      <c r="J460" s="40"/>
    </row>
    <row r="461" spans="1:10" x14ac:dyDescent="0.25">
      <c r="A461" s="1" t="s">
        <v>721</v>
      </c>
      <c r="B461" s="1" t="s">
        <v>847</v>
      </c>
      <c r="C461" s="22">
        <v>0</v>
      </c>
      <c r="D461" s="22">
        <v>0</v>
      </c>
      <c r="E461" s="22">
        <f t="shared" si="7"/>
        <v>0</v>
      </c>
      <c r="J461" s="40"/>
    </row>
    <row r="462" spans="1:10" x14ac:dyDescent="0.25">
      <c r="A462" s="1" t="s">
        <v>722</v>
      </c>
      <c r="B462" s="1" t="s">
        <v>99</v>
      </c>
      <c r="C462" s="22">
        <v>0</v>
      </c>
      <c r="D462" s="22">
        <v>0</v>
      </c>
      <c r="E462" s="22">
        <f t="shared" si="7"/>
        <v>0</v>
      </c>
      <c r="J462" s="40"/>
    </row>
    <row r="463" spans="1:10" x14ac:dyDescent="0.25">
      <c r="A463" s="1" t="s">
        <v>723</v>
      </c>
      <c r="B463" s="1" t="s">
        <v>832</v>
      </c>
      <c r="C463" s="22">
        <v>0</v>
      </c>
      <c r="D463" s="22">
        <v>-79655.240000000005</v>
      </c>
      <c r="E463" s="22">
        <f t="shared" si="7"/>
        <v>-79655.240000000005</v>
      </c>
      <c r="J463" s="40"/>
    </row>
    <row r="464" spans="1:10" x14ac:dyDescent="0.25">
      <c r="A464" s="1" t="s">
        <v>724</v>
      </c>
      <c r="B464" s="1" t="s">
        <v>267</v>
      </c>
      <c r="C464" s="22">
        <v>0</v>
      </c>
      <c r="D464" s="22">
        <v>0</v>
      </c>
      <c r="E464" s="22">
        <f t="shared" si="7"/>
        <v>0</v>
      </c>
      <c r="J464" s="40"/>
    </row>
    <row r="465" spans="1:10" x14ac:dyDescent="0.25">
      <c r="A465" s="1" t="s">
        <v>725</v>
      </c>
      <c r="B465" s="1" t="s">
        <v>726</v>
      </c>
      <c r="C465" s="22">
        <v>0</v>
      </c>
      <c r="D465" s="22">
        <v>0</v>
      </c>
      <c r="E465" s="22">
        <f t="shared" si="7"/>
        <v>0</v>
      </c>
      <c r="J465" s="40"/>
    </row>
    <row r="466" spans="1:10" x14ac:dyDescent="0.25">
      <c r="A466" s="1" t="s">
        <v>727</v>
      </c>
      <c r="B466" s="1" t="s">
        <v>106</v>
      </c>
      <c r="C466" s="22">
        <v>0</v>
      </c>
      <c r="D466" s="22">
        <v>0</v>
      </c>
      <c r="E466" s="22">
        <f t="shared" si="7"/>
        <v>0</v>
      </c>
      <c r="J466" s="40"/>
    </row>
    <row r="467" spans="1:10" x14ac:dyDescent="0.25">
      <c r="A467" s="1" t="s">
        <v>728</v>
      </c>
      <c r="B467" s="1" t="s">
        <v>729</v>
      </c>
      <c r="C467" s="22">
        <v>0</v>
      </c>
      <c r="D467" s="22">
        <v>0</v>
      </c>
      <c r="E467" s="22">
        <f t="shared" si="7"/>
        <v>0</v>
      </c>
      <c r="J467" s="40"/>
    </row>
    <row r="468" spans="1:10" x14ac:dyDescent="0.25">
      <c r="A468" s="1" t="s">
        <v>730</v>
      </c>
      <c r="B468" s="1" t="s">
        <v>476</v>
      </c>
      <c r="C468" s="22">
        <v>0</v>
      </c>
      <c r="D468" s="22">
        <v>0</v>
      </c>
      <c r="E468" s="22">
        <f t="shared" si="7"/>
        <v>0</v>
      </c>
      <c r="J468" s="40"/>
    </row>
    <row r="469" spans="1:10" x14ac:dyDescent="0.25">
      <c r="A469" s="1" t="s">
        <v>731</v>
      </c>
      <c r="B469" s="1" t="s">
        <v>478</v>
      </c>
      <c r="C469" s="22">
        <v>0</v>
      </c>
      <c r="D469" s="22">
        <v>0</v>
      </c>
      <c r="E469" s="22">
        <f t="shared" si="7"/>
        <v>0</v>
      </c>
      <c r="J469" s="40"/>
    </row>
    <row r="470" spans="1:10" x14ac:dyDescent="0.25">
      <c r="A470" s="1" t="s">
        <v>732</v>
      </c>
      <c r="B470" s="1" t="s">
        <v>480</v>
      </c>
      <c r="C470" s="22">
        <v>0</v>
      </c>
      <c r="D470" s="22">
        <v>0</v>
      </c>
      <c r="E470" s="22">
        <f t="shared" si="7"/>
        <v>0</v>
      </c>
      <c r="J470" s="40"/>
    </row>
    <row r="471" spans="1:10" x14ac:dyDescent="0.25">
      <c r="A471" s="1" t="s">
        <v>733</v>
      </c>
      <c r="B471" s="1" t="s">
        <v>734</v>
      </c>
      <c r="C471" s="22">
        <v>151760.79999999999</v>
      </c>
      <c r="D471" s="22">
        <v>0</v>
      </c>
      <c r="E471" s="22">
        <f t="shared" si="7"/>
        <v>151760.79999999999</v>
      </c>
      <c r="J471" s="40"/>
    </row>
    <row r="472" spans="1:10" x14ac:dyDescent="0.25">
      <c r="A472" s="1" t="s">
        <v>735</v>
      </c>
      <c r="B472" s="1" t="s">
        <v>104</v>
      </c>
      <c r="C472" s="22">
        <v>12536.54</v>
      </c>
      <c r="D472" s="22">
        <v>0</v>
      </c>
      <c r="E472" s="22">
        <f t="shared" si="7"/>
        <v>12536.54</v>
      </c>
      <c r="J472" s="40"/>
    </row>
    <row r="473" spans="1:10" x14ac:dyDescent="0.25">
      <c r="A473" s="1" t="s">
        <v>736</v>
      </c>
      <c r="B473" s="1" t="s">
        <v>106</v>
      </c>
      <c r="C473" s="22">
        <v>28084.16</v>
      </c>
      <c r="D473" s="22">
        <v>0</v>
      </c>
      <c r="E473" s="22">
        <f t="shared" si="7"/>
        <v>28084.16</v>
      </c>
      <c r="J473" s="40"/>
    </row>
    <row r="474" spans="1:10" x14ac:dyDescent="0.25">
      <c r="A474" s="1" t="s">
        <v>737</v>
      </c>
      <c r="B474" s="1" t="s">
        <v>108</v>
      </c>
      <c r="C474" s="22">
        <v>30726.81</v>
      </c>
      <c r="D474" s="22">
        <v>0</v>
      </c>
      <c r="E474" s="22">
        <f t="shared" si="7"/>
        <v>30726.81</v>
      </c>
      <c r="J474" s="40"/>
    </row>
    <row r="475" spans="1:10" x14ac:dyDescent="0.25">
      <c r="A475" s="1" t="s">
        <v>738</v>
      </c>
      <c r="B475" s="1" t="s">
        <v>110</v>
      </c>
      <c r="C475" s="22">
        <v>1005.24</v>
      </c>
      <c r="D475" s="22">
        <v>0</v>
      </c>
      <c r="E475" s="22">
        <f t="shared" si="7"/>
        <v>1005.24</v>
      </c>
      <c r="J475" s="40"/>
    </row>
    <row r="476" spans="1:10" x14ac:dyDescent="0.25">
      <c r="A476" s="1" t="s">
        <v>739</v>
      </c>
      <c r="B476" s="1" t="s">
        <v>112</v>
      </c>
      <c r="C476" s="22">
        <v>12460.09</v>
      </c>
      <c r="D476" s="22">
        <v>0</v>
      </c>
      <c r="E476" s="22">
        <f t="shared" si="7"/>
        <v>12460.09</v>
      </c>
      <c r="J476" s="40"/>
    </row>
    <row r="477" spans="1:10" x14ac:dyDescent="0.25">
      <c r="A477" s="1" t="s">
        <v>740</v>
      </c>
      <c r="B477" s="1" t="s">
        <v>114</v>
      </c>
      <c r="C477" s="22">
        <v>9.86</v>
      </c>
      <c r="D477" s="22">
        <v>0</v>
      </c>
      <c r="E477" s="22">
        <f t="shared" si="7"/>
        <v>9.86</v>
      </c>
      <c r="J477" s="40"/>
    </row>
    <row r="478" spans="1:10" x14ac:dyDescent="0.25">
      <c r="A478" s="1" t="s">
        <v>741</v>
      </c>
      <c r="B478" s="1" t="s">
        <v>276</v>
      </c>
      <c r="C478" s="22">
        <v>54.18</v>
      </c>
      <c r="D478" s="22">
        <v>0</v>
      </c>
      <c r="E478" s="22">
        <f t="shared" si="7"/>
        <v>54.18</v>
      </c>
      <c r="J478" s="40"/>
    </row>
    <row r="479" spans="1:10" x14ac:dyDescent="0.25">
      <c r="A479" s="1" t="s">
        <v>742</v>
      </c>
      <c r="B479" s="1" t="s">
        <v>278</v>
      </c>
      <c r="C479" s="22">
        <v>0</v>
      </c>
      <c r="D479" s="22">
        <v>0</v>
      </c>
      <c r="E479" s="22">
        <f t="shared" si="7"/>
        <v>0</v>
      </c>
      <c r="J479" s="40"/>
    </row>
    <row r="480" spans="1:10" x14ac:dyDescent="0.25">
      <c r="A480" s="1" t="s">
        <v>743</v>
      </c>
      <c r="B480" s="1" t="s">
        <v>280</v>
      </c>
      <c r="C480" s="22">
        <v>5671.47</v>
      </c>
      <c r="D480" s="22">
        <v>0</v>
      </c>
      <c r="E480" s="22">
        <f t="shared" si="7"/>
        <v>5671.47</v>
      </c>
      <c r="J480" s="40"/>
    </row>
    <row r="481" spans="1:10" x14ac:dyDescent="0.25">
      <c r="A481" s="1" t="s">
        <v>744</v>
      </c>
      <c r="B481" s="1" t="s">
        <v>120</v>
      </c>
      <c r="C481" s="22">
        <v>8708.06</v>
      </c>
      <c r="D481" s="22">
        <v>0</v>
      </c>
      <c r="E481" s="22">
        <f t="shared" si="7"/>
        <v>8708.06</v>
      </c>
      <c r="J481" s="40"/>
    </row>
    <row r="482" spans="1:10" x14ac:dyDescent="0.25">
      <c r="A482" s="1" t="s">
        <v>745</v>
      </c>
      <c r="B482" s="1" t="s">
        <v>124</v>
      </c>
      <c r="C482" s="22">
        <v>7418.56</v>
      </c>
      <c r="D482" s="22">
        <v>0</v>
      </c>
      <c r="E482" s="22">
        <f t="shared" si="7"/>
        <v>7418.56</v>
      </c>
      <c r="J482" s="40"/>
    </row>
    <row r="483" spans="1:10" x14ac:dyDescent="0.25">
      <c r="A483" s="1" t="s">
        <v>746</v>
      </c>
      <c r="B483" s="1" t="s">
        <v>126</v>
      </c>
      <c r="C483" s="22">
        <v>2607.86</v>
      </c>
      <c r="D483" s="22">
        <v>0</v>
      </c>
      <c r="E483" s="22">
        <f t="shared" si="7"/>
        <v>2607.86</v>
      </c>
      <c r="J483" s="40"/>
    </row>
    <row r="484" spans="1:10" x14ac:dyDescent="0.25">
      <c r="A484" s="1" t="s">
        <v>747</v>
      </c>
      <c r="B484" s="1" t="s">
        <v>287</v>
      </c>
      <c r="C484" s="22">
        <v>2533.3000000000002</v>
      </c>
      <c r="D484" s="22">
        <v>0</v>
      </c>
      <c r="E484" s="22">
        <f t="shared" si="7"/>
        <v>2533.3000000000002</v>
      </c>
      <c r="J484" s="40"/>
    </row>
    <row r="485" spans="1:10" x14ac:dyDescent="0.25">
      <c r="A485" s="1" t="s">
        <v>748</v>
      </c>
      <c r="B485" s="1" t="s">
        <v>132</v>
      </c>
      <c r="C485" s="22">
        <v>2815.98</v>
      </c>
      <c r="D485" s="22">
        <v>0</v>
      </c>
      <c r="E485" s="22">
        <f t="shared" si="7"/>
        <v>2815.98</v>
      </c>
      <c r="J485" s="40"/>
    </row>
    <row r="486" spans="1:10" x14ac:dyDescent="0.25">
      <c r="A486" s="1" t="s">
        <v>749</v>
      </c>
      <c r="B486" s="1" t="s">
        <v>291</v>
      </c>
      <c r="C486" s="22">
        <v>31.2</v>
      </c>
      <c r="D486" s="22">
        <v>0</v>
      </c>
      <c r="E486" s="22">
        <f t="shared" si="7"/>
        <v>31.2</v>
      </c>
      <c r="J486" s="40"/>
    </row>
    <row r="487" spans="1:10" x14ac:dyDescent="0.25">
      <c r="A487" s="1" t="s">
        <v>750</v>
      </c>
      <c r="B487" s="1" t="s">
        <v>295</v>
      </c>
      <c r="C487" s="22">
        <v>0</v>
      </c>
      <c r="D487" s="22">
        <v>0</v>
      </c>
      <c r="E487" s="22">
        <f t="shared" si="7"/>
        <v>0</v>
      </c>
      <c r="J487" s="40"/>
    </row>
    <row r="488" spans="1:10" x14ac:dyDescent="0.25">
      <c r="A488" s="1" t="s">
        <v>751</v>
      </c>
      <c r="B488" s="1" t="s">
        <v>297</v>
      </c>
      <c r="C488" s="22">
        <v>4518.37</v>
      </c>
      <c r="D488" s="22">
        <v>0</v>
      </c>
      <c r="E488" s="22">
        <f t="shared" si="7"/>
        <v>4518.37</v>
      </c>
      <c r="J488" s="40"/>
    </row>
    <row r="489" spans="1:10" x14ac:dyDescent="0.25">
      <c r="A489" s="1" t="s">
        <v>752</v>
      </c>
      <c r="B489" s="1" t="s">
        <v>303</v>
      </c>
      <c r="C489" s="22">
        <v>18479.64</v>
      </c>
      <c r="D489" s="22">
        <v>0</v>
      </c>
      <c r="E489" s="22">
        <f t="shared" si="7"/>
        <v>18479.64</v>
      </c>
      <c r="J489" s="40"/>
    </row>
    <row r="490" spans="1:10" x14ac:dyDescent="0.25">
      <c r="A490" s="1" t="s">
        <v>753</v>
      </c>
      <c r="B490" s="1" t="s">
        <v>754</v>
      </c>
      <c r="C490" s="22">
        <v>1012.84</v>
      </c>
      <c r="D490" s="22">
        <v>0</v>
      </c>
      <c r="E490" s="22">
        <f t="shared" si="7"/>
        <v>1012.84</v>
      </c>
      <c r="J490" s="40"/>
    </row>
    <row r="491" spans="1:10" x14ac:dyDescent="0.25">
      <c r="A491" s="1" t="s">
        <v>755</v>
      </c>
      <c r="B491" s="1" t="s">
        <v>311</v>
      </c>
      <c r="C491" s="22">
        <v>2275.44</v>
      </c>
      <c r="D491" s="22">
        <v>0</v>
      </c>
      <c r="E491" s="22">
        <f t="shared" si="7"/>
        <v>2275.44</v>
      </c>
      <c r="J491" s="40"/>
    </row>
    <row r="492" spans="1:10" x14ac:dyDescent="0.25">
      <c r="A492" s="1" t="s">
        <v>756</v>
      </c>
      <c r="B492" s="1" t="s">
        <v>313</v>
      </c>
      <c r="C492" s="22">
        <v>9338.35</v>
      </c>
      <c r="D492" s="22">
        <v>0</v>
      </c>
      <c r="E492" s="22">
        <f t="shared" si="7"/>
        <v>9338.35</v>
      </c>
      <c r="J492" s="40"/>
    </row>
    <row r="493" spans="1:10" x14ac:dyDescent="0.25">
      <c r="A493" s="1" t="s">
        <v>757</v>
      </c>
      <c r="B493" s="1" t="s">
        <v>498</v>
      </c>
      <c r="C493" s="22">
        <v>0</v>
      </c>
      <c r="D493" s="22">
        <v>0</v>
      </c>
      <c r="E493" s="22">
        <f t="shared" si="7"/>
        <v>0</v>
      </c>
      <c r="J493" s="40"/>
    </row>
    <row r="494" spans="1:10" x14ac:dyDescent="0.25">
      <c r="A494" s="1" t="s">
        <v>758</v>
      </c>
      <c r="B494" s="1" t="s">
        <v>322</v>
      </c>
      <c r="C494" s="22">
        <v>0</v>
      </c>
      <c r="D494" s="22">
        <v>0</v>
      </c>
      <c r="E494" s="22">
        <f t="shared" si="7"/>
        <v>0</v>
      </c>
      <c r="J494" s="40"/>
    </row>
    <row r="495" spans="1:10" x14ac:dyDescent="0.25">
      <c r="A495" s="1" t="s">
        <v>759</v>
      </c>
      <c r="B495" s="1" t="s">
        <v>327</v>
      </c>
      <c r="C495" s="22">
        <v>2897.27</v>
      </c>
      <c r="D495" s="22">
        <v>0</v>
      </c>
      <c r="E495" s="22">
        <f t="shared" si="7"/>
        <v>2897.27</v>
      </c>
      <c r="J495" s="40"/>
    </row>
    <row r="496" spans="1:10" x14ac:dyDescent="0.25">
      <c r="A496" s="1" t="s">
        <v>760</v>
      </c>
      <c r="B496" s="1" t="s">
        <v>329</v>
      </c>
      <c r="C496" s="22">
        <v>962.84</v>
      </c>
      <c r="D496" s="22">
        <v>0</v>
      </c>
      <c r="E496" s="22">
        <f t="shared" si="7"/>
        <v>962.84</v>
      </c>
      <c r="J496" s="40"/>
    </row>
    <row r="497" spans="1:10" x14ac:dyDescent="0.25">
      <c r="A497" s="1" t="s">
        <v>761</v>
      </c>
      <c r="B497" s="1" t="s">
        <v>636</v>
      </c>
      <c r="C497" s="22">
        <v>373.76</v>
      </c>
      <c r="D497" s="22">
        <v>0</v>
      </c>
      <c r="E497" s="22">
        <f t="shared" si="7"/>
        <v>373.76</v>
      </c>
      <c r="J497" s="40"/>
    </row>
    <row r="498" spans="1:10" x14ac:dyDescent="0.25">
      <c r="A498" s="1" t="s">
        <v>762</v>
      </c>
      <c r="B498" s="1" t="s">
        <v>162</v>
      </c>
      <c r="C498" s="22">
        <v>616.75</v>
      </c>
      <c r="D498" s="22">
        <v>0</v>
      </c>
      <c r="E498" s="22">
        <f t="shared" si="7"/>
        <v>616.75</v>
      </c>
      <c r="J498" s="40"/>
    </row>
    <row r="499" spans="1:10" x14ac:dyDescent="0.25">
      <c r="A499" s="1" t="s">
        <v>763</v>
      </c>
      <c r="B499" s="1" t="s">
        <v>348</v>
      </c>
      <c r="C499" s="22">
        <v>585.16999999999996</v>
      </c>
      <c r="D499" s="22">
        <v>0</v>
      </c>
      <c r="E499" s="22">
        <f t="shared" si="7"/>
        <v>585.16999999999996</v>
      </c>
      <c r="J499" s="40"/>
    </row>
    <row r="500" spans="1:10" x14ac:dyDescent="0.25">
      <c r="A500" s="1" t="s">
        <v>764</v>
      </c>
      <c r="B500" s="1" t="s">
        <v>130</v>
      </c>
      <c r="C500" s="22">
        <v>948.12</v>
      </c>
      <c r="D500" s="22">
        <v>0</v>
      </c>
      <c r="E500" s="22">
        <f t="shared" si="7"/>
        <v>948.12</v>
      </c>
      <c r="J500" s="40"/>
    </row>
    <row r="501" spans="1:10" x14ac:dyDescent="0.25">
      <c r="A501" s="1" t="s">
        <v>765</v>
      </c>
      <c r="B501" s="1" t="s">
        <v>766</v>
      </c>
      <c r="C501" s="22">
        <v>19187.23</v>
      </c>
      <c r="D501" s="22">
        <v>0</v>
      </c>
      <c r="E501" s="22">
        <f t="shared" si="7"/>
        <v>19187.23</v>
      </c>
      <c r="J501" s="40"/>
    </row>
    <row r="502" spans="1:10" x14ac:dyDescent="0.25">
      <c r="A502" s="1" t="s">
        <v>767</v>
      </c>
      <c r="B502" s="1" t="s">
        <v>768</v>
      </c>
      <c r="C502" s="22">
        <v>5225.53</v>
      </c>
      <c r="D502" s="22">
        <v>0</v>
      </c>
      <c r="E502" s="22">
        <f t="shared" si="7"/>
        <v>5225.53</v>
      </c>
      <c r="J502" s="40"/>
    </row>
    <row r="503" spans="1:10" x14ac:dyDescent="0.25">
      <c r="A503" s="1" t="s">
        <v>769</v>
      </c>
      <c r="B503" s="1" t="s">
        <v>303</v>
      </c>
      <c r="C503" s="22">
        <v>0</v>
      </c>
      <c r="D503" s="22">
        <v>0</v>
      </c>
      <c r="E503" s="22">
        <f t="shared" si="7"/>
        <v>0</v>
      </c>
      <c r="J503" s="40"/>
    </row>
    <row r="504" spans="1:10" x14ac:dyDescent="0.25">
      <c r="A504" s="1" t="s">
        <v>770</v>
      </c>
      <c r="B504" s="1" t="s">
        <v>771</v>
      </c>
      <c r="C504" s="22">
        <v>1419.2</v>
      </c>
      <c r="D504" s="22">
        <v>0</v>
      </c>
      <c r="E504" s="22">
        <f t="shared" si="7"/>
        <v>1419.2</v>
      </c>
      <c r="J504" s="40"/>
    </row>
    <row r="505" spans="1:10" x14ac:dyDescent="0.25">
      <c r="A505" s="1" t="s">
        <v>772</v>
      </c>
      <c r="B505" s="1" t="s">
        <v>432</v>
      </c>
      <c r="C505" s="22">
        <v>1109.1500000000001</v>
      </c>
      <c r="D505" s="22">
        <v>0</v>
      </c>
      <c r="E505" s="22">
        <f t="shared" si="7"/>
        <v>1109.1500000000001</v>
      </c>
      <c r="J505" s="40"/>
    </row>
    <row r="506" spans="1:10" x14ac:dyDescent="0.25">
      <c r="A506" s="1" t="s">
        <v>773</v>
      </c>
      <c r="B506" s="1" t="s">
        <v>774</v>
      </c>
      <c r="C506" s="22">
        <v>6326.73</v>
      </c>
      <c r="D506" s="22">
        <v>0</v>
      </c>
      <c r="E506" s="22">
        <f t="shared" si="7"/>
        <v>6326.73</v>
      </c>
      <c r="J506" s="40"/>
    </row>
    <row r="507" spans="1:10" x14ac:dyDescent="0.25">
      <c r="A507" s="1" t="s">
        <v>775</v>
      </c>
      <c r="B507" s="1" t="s">
        <v>776</v>
      </c>
      <c r="C507" s="22">
        <v>7177.92</v>
      </c>
      <c r="D507" s="22">
        <v>0</v>
      </c>
      <c r="E507" s="22">
        <f t="shared" si="7"/>
        <v>7177.92</v>
      </c>
      <c r="J507" s="40"/>
    </row>
    <row r="508" spans="1:10" x14ac:dyDescent="0.25">
      <c r="A508" s="1" t="s">
        <v>777</v>
      </c>
      <c r="B508" s="1" t="s">
        <v>778</v>
      </c>
      <c r="C508" s="22">
        <v>1199</v>
      </c>
      <c r="D508" s="22">
        <v>0</v>
      </c>
      <c r="E508" s="22">
        <f t="shared" si="7"/>
        <v>1199</v>
      </c>
      <c r="J508" s="40"/>
    </row>
    <row r="509" spans="1:10" x14ac:dyDescent="0.25">
      <c r="A509" s="1" t="s">
        <v>779</v>
      </c>
      <c r="B509" s="1" t="s">
        <v>780</v>
      </c>
      <c r="C509" s="22">
        <v>0</v>
      </c>
      <c r="D509" s="22">
        <v>0</v>
      </c>
      <c r="E509" s="22">
        <f t="shared" si="7"/>
        <v>0</v>
      </c>
      <c r="J509" s="40"/>
    </row>
    <row r="510" spans="1:10" x14ac:dyDescent="0.25">
      <c r="A510" s="1" t="s">
        <v>781</v>
      </c>
      <c r="B510" s="1" t="s">
        <v>782</v>
      </c>
      <c r="C510" s="22">
        <v>0</v>
      </c>
      <c r="D510" s="22">
        <v>0</v>
      </c>
      <c r="E510" s="22">
        <f t="shared" si="7"/>
        <v>0</v>
      </c>
      <c r="J510" s="40"/>
    </row>
    <row r="511" spans="1:10" x14ac:dyDescent="0.25">
      <c r="A511" s="1" t="s">
        <v>783</v>
      </c>
      <c r="B511" s="1" t="s">
        <v>23</v>
      </c>
      <c r="C511" s="22">
        <v>883.56</v>
      </c>
      <c r="D511" s="22">
        <v>0</v>
      </c>
      <c r="E511" s="22">
        <f t="shared" si="7"/>
        <v>883.56</v>
      </c>
      <c r="J511" s="40"/>
    </row>
    <row r="512" spans="1:10" x14ac:dyDescent="0.25">
      <c r="A512" s="1" t="s">
        <v>784</v>
      </c>
      <c r="B512" s="1" t="s">
        <v>158</v>
      </c>
      <c r="C512" s="22">
        <v>0</v>
      </c>
      <c r="D512" s="22">
        <v>0</v>
      </c>
      <c r="E512" s="22">
        <f t="shared" si="7"/>
        <v>0</v>
      </c>
      <c r="J512" s="40"/>
    </row>
    <row r="513" spans="1:10" x14ac:dyDescent="0.25">
      <c r="A513" s="1" t="s">
        <v>785</v>
      </c>
      <c r="B513" s="1" t="s">
        <v>43</v>
      </c>
      <c r="C513" s="22">
        <v>63728.35</v>
      </c>
      <c r="D513" s="22">
        <v>0</v>
      </c>
      <c r="E513" s="22">
        <f t="shared" si="7"/>
        <v>63728.35</v>
      </c>
      <c r="J513" s="40"/>
    </row>
    <row r="514" spans="1:10" x14ac:dyDescent="0.25">
      <c r="A514" s="1" t="s">
        <v>786</v>
      </c>
      <c r="B514" s="1" t="s">
        <v>787</v>
      </c>
      <c r="C514" s="22">
        <v>1350357.28</v>
      </c>
      <c r="D514" s="22">
        <v>0</v>
      </c>
      <c r="E514" s="22">
        <f t="shared" si="7"/>
        <v>1350357.28</v>
      </c>
      <c r="J514" s="40"/>
    </row>
    <row r="515" spans="1:10" x14ac:dyDescent="0.25">
      <c r="A515" s="1" t="s">
        <v>788</v>
      </c>
      <c r="B515" s="1" t="s">
        <v>344</v>
      </c>
      <c r="C515" s="22">
        <v>0</v>
      </c>
      <c r="D515" s="22">
        <v>0</v>
      </c>
      <c r="E515" s="22">
        <f t="shared" si="7"/>
        <v>0</v>
      </c>
      <c r="J515" s="40"/>
    </row>
    <row r="516" spans="1:10" x14ac:dyDescent="0.25">
      <c r="A516" s="1" t="s">
        <v>789</v>
      </c>
      <c r="B516" s="1" t="s">
        <v>164</v>
      </c>
      <c r="C516" s="22">
        <v>0</v>
      </c>
      <c r="D516" s="22">
        <v>0</v>
      </c>
      <c r="E516" s="22">
        <f t="shared" si="7"/>
        <v>0</v>
      </c>
      <c r="J516" s="40"/>
    </row>
    <row r="517" spans="1:10" x14ac:dyDescent="0.25">
      <c r="A517" s="1" t="s">
        <v>790</v>
      </c>
      <c r="B517" s="1" t="s">
        <v>49</v>
      </c>
      <c r="C517" s="22">
        <v>61488.06</v>
      </c>
      <c r="D517" s="22">
        <v>0</v>
      </c>
      <c r="E517" s="22">
        <f t="shared" si="7"/>
        <v>61488.06</v>
      </c>
      <c r="J517" s="40"/>
    </row>
    <row r="518" spans="1:10" x14ac:dyDescent="0.25">
      <c r="A518" s="1" t="s">
        <v>791</v>
      </c>
      <c r="B518" s="1" t="s">
        <v>792</v>
      </c>
      <c r="C518" s="22">
        <v>24724.43</v>
      </c>
      <c r="D518" s="22">
        <v>0</v>
      </c>
      <c r="E518" s="22">
        <f t="shared" ref="E518:E524" si="8">SUM(C518:D518)</f>
        <v>24724.43</v>
      </c>
      <c r="J518" s="40"/>
    </row>
    <row r="519" spans="1:10" x14ac:dyDescent="0.25">
      <c r="A519" s="1" t="s">
        <v>793</v>
      </c>
      <c r="B519" s="1" t="s">
        <v>54</v>
      </c>
      <c r="C519" s="22">
        <v>3505.17</v>
      </c>
      <c r="D519" s="22">
        <v>0</v>
      </c>
      <c r="E519" s="22">
        <f t="shared" si="8"/>
        <v>3505.17</v>
      </c>
      <c r="J519" s="40"/>
    </row>
    <row r="520" spans="1:10" x14ac:dyDescent="0.25">
      <c r="A520" s="1" t="s">
        <v>794</v>
      </c>
      <c r="B520" s="1" t="s">
        <v>531</v>
      </c>
      <c r="C520" s="22">
        <v>0</v>
      </c>
      <c r="D520" s="22">
        <v>0</v>
      </c>
      <c r="E520" s="22">
        <f t="shared" si="8"/>
        <v>0</v>
      </c>
      <c r="J520" s="40"/>
    </row>
    <row r="521" spans="1:10" x14ac:dyDescent="0.25">
      <c r="A521" s="1" t="s">
        <v>795</v>
      </c>
      <c r="B521" s="1" t="s">
        <v>796</v>
      </c>
      <c r="C521" s="22">
        <v>29961</v>
      </c>
      <c r="D521" s="22">
        <v>0</v>
      </c>
      <c r="E521" s="22">
        <f t="shared" si="8"/>
        <v>29961</v>
      </c>
      <c r="J521" s="40"/>
    </row>
    <row r="522" spans="1:10" x14ac:dyDescent="0.25">
      <c r="A522" s="1" t="s">
        <v>797</v>
      </c>
      <c r="B522" s="1" t="s">
        <v>198</v>
      </c>
      <c r="C522" s="22">
        <v>0</v>
      </c>
      <c r="D522" s="22">
        <v>-29961</v>
      </c>
      <c r="E522" s="22">
        <f t="shared" si="8"/>
        <v>-29961</v>
      </c>
      <c r="J522" s="40"/>
    </row>
    <row r="523" spans="1:10" x14ac:dyDescent="0.25">
      <c r="A523" s="1" t="s">
        <v>798</v>
      </c>
      <c r="B523" s="1" t="s">
        <v>70</v>
      </c>
      <c r="C523" s="22">
        <v>282.77999999999997</v>
      </c>
      <c r="D523" s="22">
        <v>0</v>
      </c>
      <c r="E523" s="22">
        <f t="shared" si="8"/>
        <v>282.77999999999997</v>
      </c>
      <c r="J523" s="40"/>
    </row>
    <row r="524" spans="1:10" x14ac:dyDescent="0.25">
      <c r="A524" s="1" t="s">
        <v>857</v>
      </c>
      <c r="B524" s="1" t="s">
        <v>73</v>
      </c>
      <c r="C524" s="22">
        <v>0</v>
      </c>
      <c r="D524" s="22">
        <v>-793.58</v>
      </c>
      <c r="E524" s="22">
        <f t="shared" si="8"/>
        <v>-793.58</v>
      </c>
      <c r="J524" s="40"/>
    </row>
    <row r="525" spans="1:10" x14ac:dyDescent="0.25">
      <c r="A525" s="1" t="s">
        <v>858</v>
      </c>
      <c r="B525" s="1" t="s">
        <v>208</v>
      </c>
      <c r="C525" s="10">
        <v>0</v>
      </c>
      <c r="D525" s="10">
        <v>-143.36000000000001</v>
      </c>
      <c r="E525" s="22">
        <f t="shared" ref="E525:E554" si="9">SUM(C525:D525)</f>
        <v>-143.36000000000001</v>
      </c>
      <c r="J525" s="40"/>
    </row>
    <row r="526" spans="1:10" x14ac:dyDescent="0.25">
      <c r="A526" s="1" t="s">
        <v>859</v>
      </c>
      <c r="B526" s="1" t="s">
        <v>210</v>
      </c>
      <c r="C526" s="10">
        <v>0</v>
      </c>
      <c r="D526" s="10">
        <v>-125.23</v>
      </c>
      <c r="E526" s="22">
        <f t="shared" si="9"/>
        <v>-125.23</v>
      </c>
      <c r="J526" s="40"/>
    </row>
    <row r="527" spans="1:10" x14ac:dyDescent="0.25">
      <c r="A527" s="1" t="s">
        <v>860</v>
      </c>
      <c r="B527" s="1" t="s">
        <v>215</v>
      </c>
      <c r="C527" s="10">
        <v>0</v>
      </c>
      <c r="D527" s="10">
        <v>-7.44</v>
      </c>
      <c r="E527" s="22">
        <f t="shared" si="9"/>
        <v>-7.44</v>
      </c>
      <c r="J527" s="40"/>
    </row>
    <row r="528" spans="1:10" x14ac:dyDescent="0.25">
      <c r="A528" s="1" t="s">
        <v>861</v>
      </c>
      <c r="B528" s="1" t="s">
        <v>219</v>
      </c>
      <c r="C528" s="10">
        <v>0</v>
      </c>
      <c r="D528" s="10">
        <v>-1.9</v>
      </c>
      <c r="E528" s="22">
        <f t="shared" si="9"/>
        <v>-1.9</v>
      </c>
      <c r="J528" s="40"/>
    </row>
    <row r="529" spans="1:10" x14ac:dyDescent="0.25">
      <c r="A529" s="1" t="s">
        <v>799</v>
      </c>
      <c r="B529" s="1" t="s">
        <v>246</v>
      </c>
      <c r="C529" s="10">
        <v>0</v>
      </c>
      <c r="D529" s="10">
        <v>-94862.15</v>
      </c>
      <c r="E529" s="22">
        <f t="shared" si="9"/>
        <v>-94862.15</v>
      </c>
      <c r="J529" s="40"/>
    </row>
    <row r="530" spans="1:10" x14ac:dyDescent="0.25">
      <c r="A530" s="1" t="s">
        <v>800</v>
      </c>
      <c r="B530" s="1" t="s">
        <v>801</v>
      </c>
      <c r="C530" s="10">
        <v>0</v>
      </c>
      <c r="D530" s="10">
        <v>-22954.41</v>
      </c>
      <c r="E530" s="22">
        <f t="shared" si="9"/>
        <v>-22954.41</v>
      </c>
      <c r="J530" s="40"/>
    </row>
    <row r="531" spans="1:10" x14ac:dyDescent="0.25">
      <c r="A531" s="1" t="s">
        <v>802</v>
      </c>
      <c r="B531" s="1" t="s">
        <v>832</v>
      </c>
      <c r="C531" s="10">
        <v>0</v>
      </c>
      <c r="D531" s="10">
        <v>-805.03</v>
      </c>
      <c r="E531" s="22">
        <f t="shared" si="9"/>
        <v>-805.03</v>
      </c>
      <c r="J531" s="40"/>
    </row>
    <row r="532" spans="1:10" x14ac:dyDescent="0.25">
      <c r="A532" s="1" t="s">
        <v>803</v>
      </c>
      <c r="B532" s="1" t="s">
        <v>267</v>
      </c>
      <c r="C532" s="10">
        <v>0</v>
      </c>
      <c r="D532" s="10">
        <v>0</v>
      </c>
      <c r="E532" s="22">
        <f t="shared" si="9"/>
        <v>0</v>
      </c>
      <c r="J532" s="40"/>
    </row>
    <row r="533" spans="1:10" x14ac:dyDescent="0.25">
      <c r="A533" s="1" t="s">
        <v>862</v>
      </c>
      <c r="B533" s="1" t="s">
        <v>734</v>
      </c>
      <c r="C533" s="10">
        <v>8824.7999999999993</v>
      </c>
      <c r="D533" s="10">
        <v>0</v>
      </c>
      <c r="E533" s="22">
        <f t="shared" si="9"/>
        <v>8824.7999999999993</v>
      </c>
      <c r="J533" s="40"/>
    </row>
    <row r="534" spans="1:10" x14ac:dyDescent="0.25">
      <c r="A534" s="1" t="s">
        <v>863</v>
      </c>
      <c r="B534" s="1" t="s">
        <v>104</v>
      </c>
      <c r="C534" s="10">
        <v>729.66</v>
      </c>
      <c r="D534" s="10">
        <v>0</v>
      </c>
      <c r="E534" s="22">
        <f t="shared" si="9"/>
        <v>729.66</v>
      </c>
      <c r="J534" s="40"/>
    </row>
    <row r="535" spans="1:10" x14ac:dyDescent="0.25">
      <c r="A535" s="1" t="s">
        <v>864</v>
      </c>
      <c r="B535" s="1" t="s">
        <v>106</v>
      </c>
      <c r="C535" s="10">
        <v>1873.98</v>
      </c>
      <c r="D535" s="10">
        <v>0</v>
      </c>
      <c r="E535" s="22">
        <f t="shared" si="9"/>
        <v>1873.98</v>
      </c>
      <c r="J535" s="40"/>
    </row>
    <row r="536" spans="1:10" x14ac:dyDescent="0.25">
      <c r="A536" s="1" t="s">
        <v>865</v>
      </c>
      <c r="B536" s="1" t="s">
        <v>108</v>
      </c>
      <c r="C536" s="10">
        <v>2675.51</v>
      </c>
      <c r="D536" s="10">
        <v>0</v>
      </c>
      <c r="E536" s="22">
        <f t="shared" si="9"/>
        <v>2675.51</v>
      </c>
      <c r="J536" s="40"/>
    </row>
    <row r="537" spans="1:10" x14ac:dyDescent="0.25">
      <c r="A537" s="1" t="s">
        <v>866</v>
      </c>
      <c r="B537" s="1" t="s">
        <v>110</v>
      </c>
      <c r="C537" s="10">
        <v>0</v>
      </c>
      <c r="D537" s="10">
        <v>0</v>
      </c>
      <c r="E537" s="22">
        <f t="shared" si="9"/>
        <v>0</v>
      </c>
      <c r="J537" s="40"/>
    </row>
    <row r="538" spans="1:10" x14ac:dyDescent="0.25">
      <c r="A538" s="1" t="s">
        <v>867</v>
      </c>
      <c r="B538" s="1" t="s">
        <v>112</v>
      </c>
      <c r="C538" s="10">
        <v>746.07</v>
      </c>
      <c r="D538" s="10">
        <v>0</v>
      </c>
      <c r="E538" s="22">
        <f t="shared" si="9"/>
        <v>746.07</v>
      </c>
      <c r="J538" s="40"/>
    </row>
    <row r="539" spans="1:10" x14ac:dyDescent="0.25">
      <c r="A539" s="1" t="s">
        <v>868</v>
      </c>
      <c r="B539" s="1" t="s">
        <v>114</v>
      </c>
      <c r="C539" s="10">
        <v>0.53</v>
      </c>
      <c r="D539" s="10">
        <v>0</v>
      </c>
      <c r="E539" s="22">
        <f t="shared" si="9"/>
        <v>0.53</v>
      </c>
      <c r="J539" s="40"/>
    </row>
    <row r="540" spans="1:10" x14ac:dyDescent="0.25">
      <c r="A540" s="1" t="s">
        <v>804</v>
      </c>
      <c r="B540" s="1" t="s">
        <v>291</v>
      </c>
      <c r="C540" s="10">
        <v>2.6</v>
      </c>
      <c r="D540" s="10">
        <v>0</v>
      </c>
      <c r="E540" s="22">
        <f t="shared" si="9"/>
        <v>2.6</v>
      </c>
      <c r="J540" s="40"/>
    </row>
    <row r="541" spans="1:10" x14ac:dyDescent="0.25">
      <c r="A541" s="1" t="s">
        <v>805</v>
      </c>
      <c r="B541" s="1" t="s">
        <v>295</v>
      </c>
      <c r="C541" s="10">
        <v>0</v>
      </c>
      <c r="D541" s="10">
        <v>0</v>
      </c>
      <c r="E541" s="22">
        <f t="shared" si="9"/>
        <v>0</v>
      </c>
      <c r="J541" s="40"/>
    </row>
    <row r="542" spans="1:10" x14ac:dyDescent="0.25">
      <c r="A542" s="1" t="s">
        <v>806</v>
      </c>
      <c r="B542" s="1" t="s">
        <v>432</v>
      </c>
      <c r="C542" s="10">
        <v>0</v>
      </c>
      <c r="D542" s="10">
        <v>0</v>
      </c>
      <c r="E542" s="22">
        <f t="shared" si="9"/>
        <v>0</v>
      </c>
      <c r="J542" s="40"/>
    </row>
    <row r="543" spans="1:10" x14ac:dyDescent="0.25">
      <c r="A543" s="1" t="s">
        <v>807</v>
      </c>
      <c r="B543" s="1" t="s">
        <v>808</v>
      </c>
      <c r="C543" s="10">
        <v>14839.51</v>
      </c>
      <c r="D543" s="10">
        <v>0</v>
      </c>
      <c r="E543" s="22">
        <f t="shared" si="9"/>
        <v>14839.51</v>
      </c>
      <c r="J543" s="40"/>
    </row>
    <row r="544" spans="1:10" x14ac:dyDescent="0.25">
      <c r="A544" s="1" t="s">
        <v>809</v>
      </c>
      <c r="B544" s="1" t="s">
        <v>315</v>
      </c>
      <c r="C544" s="10">
        <v>0</v>
      </c>
      <c r="D544" s="10">
        <v>0</v>
      </c>
      <c r="E544" s="22">
        <f t="shared" si="9"/>
        <v>0</v>
      </c>
      <c r="J544" s="40"/>
    </row>
    <row r="545" spans="1:10" x14ac:dyDescent="0.25">
      <c r="A545" s="1" t="s">
        <v>810</v>
      </c>
      <c r="B545" s="1" t="s">
        <v>43</v>
      </c>
      <c r="C545" s="10">
        <v>0</v>
      </c>
      <c r="D545" s="10">
        <v>0</v>
      </c>
      <c r="E545" s="22">
        <f t="shared" si="9"/>
        <v>0</v>
      </c>
      <c r="J545" s="40"/>
    </row>
    <row r="546" spans="1:10" x14ac:dyDescent="0.25">
      <c r="A546" s="1" t="s">
        <v>811</v>
      </c>
      <c r="B546" s="1" t="s">
        <v>344</v>
      </c>
      <c r="C546" s="10">
        <v>0</v>
      </c>
      <c r="D546" s="10">
        <v>0</v>
      </c>
      <c r="E546" s="22">
        <f t="shared" si="9"/>
        <v>0</v>
      </c>
      <c r="J546" s="40"/>
    </row>
    <row r="547" spans="1:10" x14ac:dyDescent="0.25">
      <c r="A547" s="1" t="s">
        <v>812</v>
      </c>
      <c r="B547" s="1" t="s">
        <v>164</v>
      </c>
      <c r="C547" s="10">
        <v>0</v>
      </c>
      <c r="D547" s="10">
        <v>0</v>
      </c>
      <c r="E547" s="22">
        <f t="shared" si="9"/>
        <v>0</v>
      </c>
      <c r="J547" s="40"/>
    </row>
    <row r="548" spans="1:10" x14ac:dyDescent="0.25">
      <c r="A548" s="1" t="s">
        <v>813</v>
      </c>
      <c r="B548" s="1" t="s">
        <v>814</v>
      </c>
      <c r="C548" s="10">
        <v>0</v>
      </c>
      <c r="D548" s="10">
        <v>-2281995.2999999998</v>
      </c>
      <c r="E548" s="22">
        <f t="shared" si="9"/>
        <v>-2281995.2999999998</v>
      </c>
      <c r="J548" s="40"/>
    </row>
    <row r="549" spans="1:10" x14ac:dyDescent="0.25">
      <c r="A549" s="1" t="s">
        <v>815</v>
      </c>
      <c r="B549" s="1" t="s">
        <v>816</v>
      </c>
      <c r="C549" s="10">
        <v>2273314.92</v>
      </c>
      <c r="D549" s="10">
        <v>0</v>
      </c>
      <c r="E549" s="22">
        <f t="shared" si="9"/>
        <v>2273314.92</v>
      </c>
      <c r="J549" s="40"/>
    </row>
    <row r="550" spans="1:10" x14ac:dyDescent="0.25">
      <c r="A550" s="1" t="s">
        <v>817</v>
      </c>
      <c r="B550" s="1" t="s">
        <v>818</v>
      </c>
      <c r="C550" s="10">
        <v>8680.3799999999992</v>
      </c>
      <c r="D550" s="10">
        <v>0</v>
      </c>
      <c r="E550" s="22">
        <f t="shared" si="9"/>
        <v>8680.3799999999992</v>
      </c>
      <c r="J550" s="40"/>
    </row>
    <row r="551" spans="1:10" x14ac:dyDescent="0.25">
      <c r="A551" s="1" t="s">
        <v>819</v>
      </c>
      <c r="B551" s="1" t="s">
        <v>820</v>
      </c>
      <c r="C551" s="10">
        <v>0</v>
      </c>
      <c r="D551" s="10">
        <v>0</v>
      </c>
      <c r="E551" s="22">
        <f t="shared" si="9"/>
        <v>0</v>
      </c>
      <c r="J551" s="40"/>
    </row>
    <row r="552" spans="1:10" x14ac:dyDescent="0.25">
      <c r="A552" s="1" t="s">
        <v>821</v>
      </c>
      <c r="B552" s="1" t="s">
        <v>822</v>
      </c>
      <c r="C552" s="10">
        <v>0</v>
      </c>
      <c r="D552" s="10">
        <v>0</v>
      </c>
      <c r="E552" s="22">
        <f t="shared" si="9"/>
        <v>0</v>
      </c>
      <c r="J552" s="40"/>
    </row>
    <row r="553" spans="1:10" x14ac:dyDescent="0.25">
      <c r="A553" s="1" t="s">
        <v>823</v>
      </c>
      <c r="B553" s="1" t="s">
        <v>70</v>
      </c>
      <c r="C553" s="10">
        <v>0</v>
      </c>
      <c r="D553" s="10">
        <v>0</v>
      </c>
      <c r="E553" s="22">
        <f t="shared" si="9"/>
        <v>0</v>
      </c>
      <c r="J553" s="40"/>
    </row>
    <row r="554" spans="1:10" x14ac:dyDescent="0.25">
      <c r="A554" s="1" t="s">
        <v>824</v>
      </c>
      <c r="B554" s="1" t="s">
        <v>246</v>
      </c>
      <c r="C554" s="10">
        <v>0</v>
      </c>
      <c r="D554" s="10">
        <v>0</v>
      </c>
      <c r="E554" s="22">
        <f t="shared" si="9"/>
        <v>0</v>
      </c>
      <c r="J554" s="40"/>
    </row>
  </sheetData>
  <autoFilter ref="A5:M554" xr:uid="{00000000-0001-0000-0000-000000000000}"/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78FA0-09C4-4A48-A562-28280F6D1371}">
  <dimension ref="A1:N388"/>
  <sheetViews>
    <sheetView tabSelected="1" zoomScaleNormal="100" workbookViewId="0">
      <pane ySplit="2" topLeftCell="A3" activePane="bottomLeft" state="frozen"/>
      <selection pane="bottomLeft" activeCell="F1" sqref="F1"/>
    </sheetView>
  </sheetViews>
  <sheetFormatPr defaultRowHeight="15" x14ac:dyDescent="0.25"/>
  <cols>
    <col min="1" max="1" width="4" bestFit="1" customWidth="1"/>
    <col min="2" max="2" width="5" bestFit="1" customWidth="1"/>
    <col min="3" max="3" width="5.42578125" style="234" bestFit="1" customWidth="1"/>
    <col min="4" max="4" width="14.140625" bestFit="1" customWidth="1"/>
    <col min="5" max="5" width="44.5703125" bestFit="1" customWidth="1"/>
    <col min="6" max="6" width="44.5703125" customWidth="1"/>
    <col min="7" max="7" width="20.28515625" bestFit="1" customWidth="1"/>
    <col min="8" max="8" width="33.140625" bestFit="1" customWidth="1"/>
    <col min="9" max="14" width="14.7109375" customWidth="1"/>
  </cols>
  <sheetData>
    <row r="1" spans="1:14" x14ac:dyDescent="0.25">
      <c r="C1"/>
      <c r="I1" s="151">
        <f>SUM(I3:I388)</f>
        <v>-2.4310793378390372E-9</v>
      </c>
      <c r="L1" s="151">
        <f>SUM(L3:L388)</f>
        <v>2495992.3816986904</v>
      </c>
      <c r="M1" s="151">
        <f t="shared" ref="M1:N1" si="0">SUM(M3:M388)</f>
        <v>3703478.2835610402</v>
      </c>
      <c r="N1" s="151">
        <f t="shared" si="0"/>
        <v>2552661.92697802</v>
      </c>
    </row>
    <row r="2" spans="1:14" x14ac:dyDescent="0.25">
      <c r="A2" t="s">
        <v>1024</v>
      </c>
      <c r="B2" t="s">
        <v>47</v>
      </c>
      <c r="C2" t="s">
        <v>46</v>
      </c>
      <c r="D2" t="s">
        <v>870</v>
      </c>
      <c r="E2" t="s">
        <v>871</v>
      </c>
      <c r="F2" t="s">
        <v>1228</v>
      </c>
      <c r="G2" t="s">
        <v>878</v>
      </c>
      <c r="H2" t="s">
        <v>879</v>
      </c>
      <c r="I2" s="179" t="s">
        <v>1229</v>
      </c>
      <c r="J2" s="179" t="s">
        <v>1239</v>
      </c>
      <c r="K2" s="179" t="s">
        <v>1192</v>
      </c>
      <c r="L2" t="s">
        <v>941</v>
      </c>
      <c r="M2" t="s">
        <v>942</v>
      </c>
      <c r="N2" t="s">
        <v>943</v>
      </c>
    </row>
    <row r="3" spans="1:14" x14ac:dyDescent="0.25">
      <c r="A3">
        <v>1</v>
      </c>
      <c r="B3" t="s">
        <v>50</v>
      </c>
      <c r="C3" s="234">
        <v>20</v>
      </c>
      <c r="D3">
        <v>10000</v>
      </c>
      <c r="E3" t="s">
        <v>1029</v>
      </c>
      <c r="F3" t="str">
        <f>D3&amp;" - "&amp;E3</f>
        <v>10000 - Cash and Cash Equivalents</v>
      </c>
      <c r="G3" t="s">
        <v>165</v>
      </c>
      <c r="H3" t="s">
        <v>49</v>
      </c>
      <c r="I3" s="155">
        <v>-743615.45</v>
      </c>
      <c r="J3" s="155">
        <v>-870205.54</v>
      </c>
      <c r="K3" s="155"/>
      <c r="L3" s="155">
        <v>0</v>
      </c>
      <c r="M3" s="233">
        <f>_xlfn.XLOOKUP(G3,'Master Budget'!$G$4:$G$360,'Master Budget'!$O$4:$O$360,0)</f>
        <v>0</v>
      </c>
      <c r="N3" s="233">
        <f>_xlfn.XLOOKUP(G3,'Master Budget'!$G$4:$G$360,'Master Budget'!$P$4:$P$360,0)</f>
        <v>0</v>
      </c>
    </row>
    <row r="4" spans="1:14" x14ac:dyDescent="0.25">
      <c r="A4">
        <v>2</v>
      </c>
      <c r="B4" t="s">
        <v>50</v>
      </c>
      <c r="C4" s="234">
        <v>20</v>
      </c>
      <c r="D4">
        <v>10000</v>
      </c>
      <c r="E4" t="s">
        <v>1029</v>
      </c>
      <c r="F4" t="str">
        <f t="shared" ref="F4:F65" si="1">D4&amp;" - "&amp;E4</f>
        <v>10000 - Cash and Cash Equivalents</v>
      </c>
      <c r="G4" t="s">
        <v>166</v>
      </c>
      <c r="H4" t="s">
        <v>52</v>
      </c>
      <c r="I4" s="155">
        <v>354</v>
      </c>
      <c r="J4" s="155">
        <v>354</v>
      </c>
      <c r="K4" s="155"/>
      <c r="L4" s="155">
        <v>0</v>
      </c>
      <c r="M4" s="233">
        <f>_xlfn.XLOOKUP(G4,'Master Budget'!$G$4:$G$360,'Master Budget'!$O$4:$O$360,0)</f>
        <v>0</v>
      </c>
      <c r="N4" s="233">
        <f>_xlfn.XLOOKUP(G4,'Master Budget'!$G$4:$G$360,'Master Budget'!$P$4:$P$360,0)</f>
        <v>0</v>
      </c>
    </row>
    <row r="5" spans="1:14" x14ac:dyDescent="0.25">
      <c r="A5">
        <v>3</v>
      </c>
      <c r="B5" t="s">
        <v>50</v>
      </c>
      <c r="C5" s="234">
        <v>20</v>
      </c>
      <c r="D5">
        <v>16200</v>
      </c>
      <c r="E5" t="s">
        <v>1074</v>
      </c>
      <c r="F5" t="str">
        <f t="shared" si="1"/>
        <v>16200 - Noncurrent restricted cash and investments</v>
      </c>
      <c r="G5" t="s">
        <v>167</v>
      </c>
      <c r="H5" t="s">
        <v>1031</v>
      </c>
      <c r="I5" s="155">
        <v>84650</v>
      </c>
      <c r="J5" s="155">
        <v>0</v>
      </c>
      <c r="K5" s="155"/>
      <c r="L5" s="155">
        <v>0</v>
      </c>
      <c r="M5" s="233">
        <f>_xlfn.XLOOKUP(G5,'Master Budget'!$G$4:$G$360,'Master Budget'!$O$4:$O$360,0)</f>
        <v>0</v>
      </c>
      <c r="N5" s="233">
        <f>_xlfn.XLOOKUP(G5,'Master Budget'!$G$4:$G$360,'Master Budget'!$P$4:$P$360,0)</f>
        <v>0</v>
      </c>
    </row>
    <row r="6" spans="1:14" x14ac:dyDescent="0.25">
      <c r="A6">
        <v>4</v>
      </c>
      <c r="B6" t="s">
        <v>50</v>
      </c>
      <c r="C6" s="234">
        <v>20</v>
      </c>
      <c r="D6">
        <v>10000</v>
      </c>
      <c r="E6" t="s">
        <v>1029</v>
      </c>
      <c r="F6" t="str">
        <f t="shared" si="1"/>
        <v>10000 - Cash and Cash Equivalents</v>
      </c>
      <c r="G6" t="s">
        <v>169</v>
      </c>
      <c r="H6" t="s">
        <v>170</v>
      </c>
      <c r="I6" s="155">
        <v>1040947.13</v>
      </c>
      <c r="J6" s="155">
        <v>833452.13</v>
      </c>
      <c r="K6" s="155"/>
      <c r="L6" s="155">
        <v>0</v>
      </c>
      <c r="M6" s="233">
        <f>_xlfn.XLOOKUP(G6,'Master Budget'!$G$4:$G$360,'Master Budget'!$O$4:$O$360,0)</f>
        <v>0</v>
      </c>
      <c r="N6" s="233">
        <f>_xlfn.XLOOKUP(G6,'Master Budget'!$G$4:$G$360,'Master Budget'!$P$4:$P$360,0)</f>
        <v>0</v>
      </c>
    </row>
    <row r="7" spans="1:14" x14ac:dyDescent="0.25">
      <c r="A7">
        <v>5</v>
      </c>
      <c r="B7" t="s">
        <v>50</v>
      </c>
      <c r="C7" s="234">
        <v>20</v>
      </c>
      <c r="D7">
        <v>16200</v>
      </c>
      <c r="E7" t="s">
        <v>1074</v>
      </c>
      <c r="F7" t="str">
        <f t="shared" si="1"/>
        <v>16200 - Noncurrent restricted cash and investments</v>
      </c>
      <c r="G7" t="s">
        <v>171</v>
      </c>
      <c r="H7" t="s">
        <v>172</v>
      </c>
      <c r="I7" s="155">
        <v>0</v>
      </c>
      <c r="J7" s="155">
        <v>0</v>
      </c>
      <c r="K7" s="155"/>
      <c r="L7" s="155">
        <v>0</v>
      </c>
      <c r="M7" s="233">
        <f>_xlfn.XLOOKUP(G7,'Master Budget'!$G$4:$G$360,'Master Budget'!$O$4:$O$360,0)</f>
        <v>0</v>
      </c>
      <c r="N7" s="233">
        <f>_xlfn.XLOOKUP(G7,'Master Budget'!$G$4:$G$360,'Master Budget'!$P$4:$P$360,0)</f>
        <v>0</v>
      </c>
    </row>
    <row r="8" spans="1:14" x14ac:dyDescent="0.25">
      <c r="A8">
        <v>6</v>
      </c>
      <c r="B8" t="s">
        <v>50</v>
      </c>
      <c r="C8" s="234">
        <v>20</v>
      </c>
      <c r="D8">
        <v>10000</v>
      </c>
      <c r="E8" t="s">
        <v>1029</v>
      </c>
      <c r="F8" t="str">
        <f t="shared" si="1"/>
        <v>10000 - Cash and Cash Equivalents</v>
      </c>
      <c r="G8" t="s">
        <v>173</v>
      </c>
      <c r="H8" t="s">
        <v>174</v>
      </c>
      <c r="I8" s="155">
        <v>-317383.14</v>
      </c>
      <c r="J8" s="155">
        <v>0</v>
      </c>
      <c r="K8" s="155"/>
      <c r="L8" s="155">
        <v>0</v>
      </c>
      <c r="M8" s="233">
        <f>_xlfn.XLOOKUP(G8,'Master Budget'!$G$4:$G$360,'Master Budget'!$O$4:$O$360,0)</f>
        <v>0</v>
      </c>
      <c r="N8" s="233">
        <f>_xlfn.XLOOKUP(G8,'Master Budget'!$G$4:$G$360,'Master Budget'!$P$4:$P$360,0)</f>
        <v>0</v>
      </c>
    </row>
    <row r="9" spans="1:14" x14ac:dyDescent="0.25">
      <c r="A9">
        <v>7</v>
      </c>
      <c r="B9" t="s">
        <v>50</v>
      </c>
      <c r="C9" s="234">
        <v>20</v>
      </c>
      <c r="D9">
        <v>11500</v>
      </c>
      <c r="E9" t="s">
        <v>54</v>
      </c>
      <c r="F9" t="str">
        <f t="shared" si="1"/>
        <v>11500 - Accounts Receivable</v>
      </c>
      <c r="G9" t="s">
        <v>175</v>
      </c>
      <c r="H9" t="s">
        <v>54</v>
      </c>
      <c r="I9" s="155">
        <v>113300.16</v>
      </c>
      <c r="J9" s="155">
        <v>137220</v>
      </c>
      <c r="K9" s="155"/>
      <c r="L9" s="155">
        <v>0</v>
      </c>
      <c r="M9" s="233">
        <f>_xlfn.XLOOKUP(G9,'Master Budget'!$G$4:$G$360,'Master Budget'!$O$4:$O$360,0)</f>
        <v>0</v>
      </c>
      <c r="N9" s="233">
        <f>_xlfn.XLOOKUP(G9,'Master Budget'!$G$4:$G$360,'Master Budget'!$P$4:$P$360,0)</f>
        <v>0</v>
      </c>
    </row>
    <row r="10" spans="1:14" x14ac:dyDescent="0.25">
      <c r="A10">
        <v>8</v>
      </c>
      <c r="B10" t="s">
        <v>50</v>
      </c>
      <c r="C10" s="234">
        <v>20</v>
      </c>
      <c r="D10">
        <v>11510</v>
      </c>
      <c r="E10" t="s">
        <v>177</v>
      </c>
      <c r="F10" t="str">
        <f t="shared" si="1"/>
        <v>11510 - Property Tax Receivable</v>
      </c>
      <c r="G10" t="s">
        <v>176</v>
      </c>
      <c r="H10" t="s">
        <v>177</v>
      </c>
      <c r="I10" s="155">
        <v>37001.800000000003</v>
      </c>
      <c r="J10" s="155">
        <v>13195.08</v>
      </c>
      <c r="K10" s="155"/>
      <c r="L10" s="155">
        <v>0</v>
      </c>
      <c r="M10" s="233">
        <f>_xlfn.XLOOKUP(G10,'Master Budget'!$G$4:$G$360,'Master Budget'!$O$4:$O$360,0)</f>
        <v>0</v>
      </c>
      <c r="N10" s="233">
        <f>_xlfn.XLOOKUP(G10,'Master Budget'!$G$4:$G$360,'Master Budget'!$P$4:$P$360,0)</f>
        <v>0</v>
      </c>
    </row>
    <row r="11" spans="1:14" x14ac:dyDescent="0.25">
      <c r="A11">
        <v>9</v>
      </c>
      <c r="B11" t="s">
        <v>50</v>
      </c>
      <c r="C11" s="234">
        <v>20</v>
      </c>
      <c r="D11">
        <v>11500</v>
      </c>
      <c r="E11" t="s">
        <v>54</v>
      </c>
      <c r="F11" t="str">
        <f t="shared" si="1"/>
        <v>11500 - Accounts Receivable</v>
      </c>
      <c r="G11" t="s">
        <v>178</v>
      </c>
      <c r="H11" t="s">
        <v>179</v>
      </c>
      <c r="I11" s="155">
        <v>-5500</v>
      </c>
      <c r="J11" s="155">
        <v>-5500</v>
      </c>
      <c r="K11" s="155"/>
      <c r="L11" s="155">
        <v>0</v>
      </c>
      <c r="M11" s="233">
        <f>_xlfn.XLOOKUP(G11,'Master Budget'!$G$4:$G$360,'Master Budget'!$O$4:$O$360,0)</f>
        <v>0</v>
      </c>
      <c r="N11" s="233">
        <f>_xlfn.XLOOKUP(G11,'Master Budget'!$G$4:$G$360,'Master Budget'!$P$4:$P$360,0)</f>
        <v>0</v>
      </c>
    </row>
    <row r="12" spans="1:14" x14ac:dyDescent="0.25">
      <c r="A12">
        <v>10</v>
      </c>
      <c r="B12" t="s">
        <v>50</v>
      </c>
      <c r="C12" s="234">
        <v>20</v>
      </c>
      <c r="D12">
        <v>14300</v>
      </c>
      <c r="E12" t="s">
        <v>56</v>
      </c>
      <c r="F12" t="str">
        <f t="shared" si="1"/>
        <v>14300 - Prepaid Expenses</v>
      </c>
      <c r="G12" t="s">
        <v>180</v>
      </c>
      <c r="H12" t="s">
        <v>56</v>
      </c>
      <c r="I12" s="155">
        <v>16704.849999999999</v>
      </c>
      <c r="J12" s="155">
        <v>0</v>
      </c>
      <c r="K12" s="155"/>
      <c r="L12" s="155">
        <v>0</v>
      </c>
      <c r="M12" s="233">
        <f>_xlfn.XLOOKUP(G12,'Master Budget'!$G$4:$G$360,'Master Budget'!$O$4:$O$360,0)</f>
        <v>0</v>
      </c>
      <c r="N12" s="233">
        <f>_xlfn.XLOOKUP(G12,'Master Budget'!$G$4:$G$360,'Master Budget'!$P$4:$P$360,0)</f>
        <v>0</v>
      </c>
    </row>
    <row r="13" spans="1:14" x14ac:dyDescent="0.25">
      <c r="A13">
        <v>11</v>
      </c>
      <c r="B13" t="s">
        <v>50</v>
      </c>
      <c r="C13" s="234">
        <v>20</v>
      </c>
      <c r="D13">
        <v>16320</v>
      </c>
      <c r="E13" t="s">
        <v>796</v>
      </c>
      <c r="F13" t="str">
        <f t="shared" si="1"/>
        <v>16320 - Equipment</v>
      </c>
      <c r="G13" t="s">
        <v>181</v>
      </c>
      <c r="H13" t="s">
        <v>58</v>
      </c>
      <c r="I13" s="155">
        <v>28943.79</v>
      </c>
      <c r="J13" s="155">
        <v>28943.79</v>
      </c>
      <c r="K13" s="155"/>
      <c r="L13" s="155">
        <v>0</v>
      </c>
      <c r="M13" s="233">
        <f>_xlfn.XLOOKUP(G13,'Master Budget'!$G$4:$G$360,'Master Budget'!$O$4:$O$360,0)</f>
        <v>0</v>
      </c>
      <c r="N13" s="233">
        <f>_xlfn.XLOOKUP(G13,'Master Budget'!$G$4:$G$360,'Master Budget'!$P$4:$P$360,0)</f>
        <v>0</v>
      </c>
    </row>
    <row r="14" spans="1:14" x14ac:dyDescent="0.25">
      <c r="A14">
        <v>12</v>
      </c>
      <c r="B14" t="s">
        <v>50</v>
      </c>
      <c r="C14" s="234">
        <v>20</v>
      </c>
      <c r="D14">
        <v>16350</v>
      </c>
      <c r="E14" t="s">
        <v>60</v>
      </c>
      <c r="F14" t="str">
        <f t="shared" si="1"/>
        <v>16350 - Land</v>
      </c>
      <c r="G14" t="s">
        <v>182</v>
      </c>
      <c r="H14" t="s">
        <v>60</v>
      </c>
      <c r="I14" s="155">
        <v>95583</v>
      </c>
      <c r="J14" s="155">
        <v>95583</v>
      </c>
      <c r="K14" s="155"/>
      <c r="L14" s="155">
        <v>0</v>
      </c>
      <c r="M14" s="233">
        <f>_xlfn.XLOOKUP(G14,'Master Budget'!$G$4:$G$360,'Master Budget'!$O$4:$O$360,0)</f>
        <v>0</v>
      </c>
      <c r="N14" s="233">
        <f>_xlfn.XLOOKUP(G14,'Master Budget'!$G$4:$G$360,'Master Budget'!$P$4:$P$360,0)</f>
        <v>0</v>
      </c>
    </row>
    <row r="15" spans="1:14" x14ac:dyDescent="0.25">
      <c r="A15">
        <v>13</v>
      </c>
      <c r="B15" t="s">
        <v>50</v>
      </c>
      <c r="C15" s="234">
        <v>20</v>
      </c>
      <c r="D15">
        <v>16320</v>
      </c>
      <c r="E15" t="s">
        <v>796</v>
      </c>
      <c r="F15" t="str">
        <f t="shared" si="1"/>
        <v>16320 - Equipment</v>
      </c>
      <c r="G15" t="s">
        <v>183</v>
      </c>
      <c r="H15" t="s">
        <v>184</v>
      </c>
      <c r="I15" s="155">
        <v>364766.92</v>
      </c>
      <c r="J15" s="155">
        <v>364766.92</v>
      </c>
      <c r="K15" s="155"/>
      <c r="L15" s="155">
        <v>0</v>
      </c>
      <c r="M15" s="233">
        <f>_xlfn.XLOOKUP(G15,'Master Budget'!$G$4:$G$360,'Master Budget'!$O$4:$O$360,0)</f>
        <v>0</v>
      </c>
      <c r="N15" s="233">
        <f>_xlfn.XLOOKUP(G15,'Master Budget'!$G$4:$G$360,'Master Budget'!$P$4:$P$360,0)</f>
        <v>0</v>
      </c>
    </row>
    <row r="16" spans="1:14" x14ac:dyDescent="0.25">
      <c r="A16">
        <v>14</v>
      </c>
      <c r="B16" t="s">
        <v>50</v>
      </c>
      <c r="C16" s="234">
        <v>20</v>
      </c>
      <c r="D16">
        <v>16320</v>
      </c>
      <c r="E16" t="s">
        <v>796</v>
      </c>
      <c r="F16" t="str">
        <f t="shared" si="1"/>
        <v>16320 - Equipment</v>
      </c>
      <c r="G16" t="s">
        <v>185</v>
      </c>
      <c r="H16" t="s">
        <v>186</v>
      </c>
      <c r="I16" s="155">
        <v>1238194.95</v>
      </c>
      <c r="J16" s="155">
        <v>1238194.95</v>
      </c>
      <c r="K16" s="155"/>
      <c r="L16" s="155">
        <v>0</v>
      </c>
      <c r="M16" s="233">
        <f>_xlfn.XLOOKUP(G16,'Master Budget'!$G$4:$G$360,'Master Budget'!$O$4:$O$360,0)</f>
        <v>0</v>
      </c>
      <c r="N16" s="233">
        <f>_xlfn.XLOOKUP(G16,'Master Budget'!$G$4:$G$360,'Master Budget'!$P$4:$P$360,0)</f>
        <v>0</v>
      </c>
    </row>
    <row r="17" spans="1:14" x14ac:dyDescent="0.25">
      <c r="A17">
        <v>15</v>
      </c>
      <c r="B17" t="s">
        <v>50</v>
      </c>
      <c r="C17" s="234">
        <v>20</v>
      </c>
      <c r="D17">
        <v>16330</v>
      </c>
      <c r="E17" t="s">
        <v>1032</v>
      </c>
      <c r="F17" t="str">
        <f t="shared" si="1"/>
        <v>16330 - Building and Improvements</v>
      </c>
      <c r="G17" t="s">
        <v>187</v>
      </c>
      <c r="H17" t="s">
        <v>188</v>
      </c>
      <c r="I17" s="155">
        <v>221674</v>
      </c>
      <c r="J17" s="155">
        <v>221674</v>
      </c>
      <c r="K17" s="155"/>
      <c r="L17" s="155">
        <v>0</v>
      </c>
      <c r="M17" s="233">
        <f>_xlfn.XLOOKUP(G17,'Master Budget'!$G$4:$G$360,'Master Budget'!$O$4:$O$360,0)</f>
        <v>0</v>
      </c>
      <c r="N17" s="233">
        <f>_xlfn.XLOOKUP(G17,'Master Budget'!$G$4:$G$360,'Master Budget'!$P$4:$P$360,0)</f>
        <v>0</v>
      </c>
    </row>
    <row r="18" spans="1:14" x14ac:dyDescent="0.25">
      <c r="A18">
        <v>16</v>
      </c>
      <c r="B18" t="s">
        <v>50</v>
      </c>
      <c r="C18" s="234">
        <v>20</v>
      </c>
      <c r="D18">
        <v>16330</v>
      </c>
      <c r="E18" t="s">
        <v>1032</v>
      </c>
      <c r="F18" t="str">
        <f t="shared" si="1"/>
        <v>16330 - Building and Improvements</v>
      </c>
      <c r="G18" t="s">
        <v>189</v>
      </c>
      <c r="H18" t="s">
        <v>190</v>
      </c>
      <c r="I18" s="155">
        <v>125054.75</v>
      </c>
      <c r="J18" s="155">
        <v>125054.75</v>
      </c>
      <c r="K18" s="155"/>
      <c r="L18" s="155">
        <v>0</v>
      </c>
      <c r="M18" s="233">
        <f>_xlfn.XLOOKUP(G18,'Master Budget'!$G$4:$G$360,'Master Budget'!$O$4:$O$360,0)</f>
        <v>0</v>
      </c>
      <c r="N18" s="233">
        <f>_xlfn.XLOOKUP(G18,'Master Budget'!$G$4:$G$360,'Master Budget'!$P$4:$P$360,0)</f>
        <v>0</v>
      </c>
    </row>
    <row r="19" spans="1:14" x14ac:dyDescent="0.25">
      <c r="A19">
        <v>17</v>
      </c>
      <c r="B19" t="s">
        <v>50</v>
      </c>
      <c r="C19" s="234">
        <v>20</v>
      </c>
      <c r="D19">
        <v>16330</v>
      </c>
      <c r="E19" t="s">
        <v>1032</v>
      </c>
      <c r="F19" t="str">
        <f t="shared" si="1"/>
        <v>16330 - Building and Improvements</v>
      </c>
      <c r="G19" t="s">
        <v>191</v>
      </c>
      <c r="H19" t="s">
        <v>192</v>
      </c>
      <c r="I19" s="155">
        <v>335634</v>
      </c>
      <c r="J19" s="155">
        <v>335634</v>
      </c>
      <c r="K19" s="155"/>
      <c r="L19" s="155">
        <v>0</v>
      </c>
      <c r="M19" s="233">
        <f>_xlfn.XLOOKUP(G19,'Master Budget'!$G$4:$G$360,'Master Budget'!$O$4:$O$360,0)</f>
        <v>0</v>
      </c>
      <c r="N19" s="233">
        <f>_xlfn.XLOOKUP(G19,'Master Budget'!$G$4:$G$360,'Master Budget'!$P$4:$P$360,0)</f>
        <v>0</v>
      </c>
    </row>
    <row r="20" spans="1:14" x14ac:dyDescent="0.25">
      <c r="A20">
        <v>18</v>
      </c>
      <c r="B20" t="s">
        <v>50</v>
      </c>
      <c r="C20" s="234">
        <v>20</v>
      </c>
      <c r="D20">
        <v>16320</v>
      </c>
      <c r="E20" t="s">
        <v>796</v>
      </c>
      <c r="F20" t="str">
        <f t="shared" si="1"/>
        <v>16320 - Equipment</v>
      </c>
      <c r="G20" t="s">
        <v>193</v>
      </c>
      <c r="H20" t="s">
        <v>194</v>
      </c>
      <c r="I20" s="155">
        <v>213333.7</v>
      </c>
      <c r="J20" s="155">
        <v>213333.7</v>
      </c>
      <c r="K20" s="155"/>
      <c r="L20" s="155">
        <v>0</v>
      </c>
      <c r="M20" s="233">
        <f>_xlfn.XLOOKUP(G20,'Master Budget'!$G$4:$G$360,'Master Budget'!$O$4:$O$360,0)</f>
        <v>0</v>
      </c>
      <c r="N20" s="233">
        <f>_xlfn.XLOOKUP(G20,'Master Budget'!$G$4:$G$360,'Master Budget'!$P$4:$P$360,0)</f>
        <v>0</v>
      </c>
    </row>
    <row r="21" spans="1:14" x14ac:dyDescent="0.25">
      <c r="A21">
        <v>19</v>
      </c>
      <c r="B21" t="s">
        <v>50</v>
      </c>
      <c r="C21" s="234">
        <v>20</v>
      </c>
      <c r="D21">
        <v>16500</v>
      </c>
      <c r="E21" t="s">
        <v>1033</v>
      </c>
      <c r="F21" t="str">
        <f t="shared" si="1"/>
        <v>16500 - Right to use assets</v>
      </c>
      <c r="G21" t="s">
        <v>1034</v>
      </c>
      <c r="H21" t="s">
        <v>1035</v>
      </c>
      <c r="I21" s="155">
        <v>0</v>
      </c>
      <c r="J21" s="155">
        <v>0</v>
      </c>
      <c r="K21" s="155"/>
      <c r="L21" s="155">
        <v>0</v>
      </c>
      <c r="M21" s="233">
        <f>_xlfn.XLOOKUP(G21,'Master Budget'!$G$4:$G$360,'Master Budget'!$O$4:$O$360,0)</f>
        <v>0</v>
      </c>
      <c r="N21" s="233">
        <f>_xlfn.XLOOKUP(G21,'Master Budget'!$G$4:$G$360,'Master Budget'!$P$4:$P$360,0)</f>
        <v>0</v>
      </c>
    </row>
    <row r="22" spans="1:14" x14ac:dyDescent="0.25">
      <c r="A22">
        <v>20</v>
      </c>
      <c r="B22" t="s">
        <v>50</v>
      </c>
      <c r="C22" s="234">
        <v>20</v>
      </c>
      <c r="D22">
        <v>16500</v>
      </c>
      <c r="E22" t="s">
        <v>1033</v>
      </c>
      <c r="F22" t="str">
        <f t="shared" si="1"/>
        <v>16500 - Right to use assets</v>
      </c>
      <c r="G22" t="s">
        <v>1036</v>
      </c>
      <c r="H22" t="s">
        <v>1037</v>
      </c>
      <c r="I22" s="155">
        <v>0</v>
      </c>
      <c r="J22" s="155">
        <v>0</v>
      </c>
      <c r="K22" s="155"/>
      <c r="L22" s="155">
        <v>0</v>
      </c>
      <c r="M22" s="233">
        <f>_xlfn.XLOOKUP(G22,'Master Budget'!$G$4:$G$360,'Master Budget'!$O$4:$O$360,0)</f>
        <v>0</v>
      </c>
      <c r="N22" s="233">
        <f>_xlfn.XLOOKUP(G22,'Master Budget'!$G$4:$G$360,'Master Budget'!$P$4:$P$360,0)</f>
        <v>0</v>
      </c>
    </row>
    <row r="23" spans="1:14" x14ac:dyDescent="0.25">
      <c r="A23">
        <v>21</v>
      </c>
      <c r="B23" t="s">
        <v>50</v>
      </c>
      <c r="C23" s="234">
        <v>20</v>
      </c>
      <c r="D23">
        <v>16600</v>
      </c>
      <c r="E23" t="s">
        <v>547</v>
      </c>
      <c r="F23" t="str">
        <f t="shared" si="1"/>
        <v>16600 - Construction In Progress</v>
      </c>
      <c r="G23" t="s">
        <v>195</v>
      </c>
      <c r="H23" t="s">
        <v>196</v>
      </c>
      <c r="I23" s="155">
        <v>0</v>
      </c>
      <c r="J23" s="155">
        <v>0</v>
      </c>
      <c r="K23" s="155"/>
      <c r="L23" s="155">
        <v>0</v>
      </c>
      <c r="M23" s="233">
        <f>_xlfn.XLOOKUP(G23,'Master Budget'!$G$4:$G$360,'Master Budget'!$O$4:$O$360,0)</f>
        <v>0</v>
      </c>
      <c r="N23" s="233">
        <f>_xlfn.XLOOKUP(G23,'Master Budget'!$G$4:$G$360,'Master Budget'!$P$4:$P$360,0)</f>
        <v>0</v>
      </c>
    </row>
    <row r="24" spans="1:14" x14ac:dyDescent="0.25">
      <c r="A24">
        <v>22</v>
      </c>
      <c r="B24" t="s">
        <v>50</v>
      </c>
      <c r="C24" s="234">
        <v>20</v>
      </c>
      <c r="D24">
        <v>16800</v>
      </c>
      <c r="E24" t="s">
        <v>1038</v>
      </c>
      <c r="F24" t="str">
        <f t="shared" si="1"/>
        <v>16800 - Accumulated Amortization</v>
      </c>
      <c r="G24" t="s">
        <v>1039</v>
      </c>
      <c r="H24" t="s">
        <v>1038</v>
      </c>
      <c r="I24" s="155">
        <v>0</v>
      </c>
      <c r="J24" s="155">
        <v>0</v>
      </c>
      <c r="K24" s="155"/>
      <c r="L24" s="155">
        <v>0</v>
      </c>
      <c r="M24" s="233">
        <f>_xlfn.XLOOKUP(G24,'Master Budget'!$G$4:$G$360,'Master Budget'!$O$4:$O$360,0)</f>
        <v>0</v>
      </c>
      <c r="N24" s="233">
        <f>_xlfn.XLOOKUP(G24,'Master Budget'!$G$4:$G$360,'Master Budget'!$P$4:$P$360,0)</f>
        <v>0</v>
      </c>
    </row>
    <row r="25" spans="1:14" x14ac:dyDescent="0.25">
      <c r="A25">
        <v>23</v>
      </c>
      <c r="B25" t="s">
        <v>50</v>
      </c>
      <c r="C25" s="234">
        <v>20</v>
      </c>
      <c r="D25">
        <v>16900</v>
      </c>
      <c r="E25" t="s">
        <v>198</v>
      </c>
      <c r="F25" t="str">
        <f t="shared" si="1"/>
        <v>16900 - Accumulated Depreciation</v>
      </c>
      <c r="G25" t="s">
        <v>197</v>
      </c>
      <c r="H25" t="s">
        <v>198</v>
      </c>
      <c r="I25" s="155">
        <v>-1612230.33</v>
      </c>
      <c r="J25" s="155">
        <v>-1658745.83</v>
      </c>
      <c r="K25" s="155"/>
      <c r="L25" s="155">
        <v>0</v>
      </c>
      <c r="M25" s="233">
        <f>_xlfn.XLOOKUP(G25,'Master Budget'!$G$4:$G$360,'Master Budget'!$O$4:$O$360,0)</f>
        <v>0</v>
      </c>
      <c r="N25" s="233">
        <f>_xlfn.XLOOKUP(G25,'Master Budget'!$G$4:$G$360,'Master Budget'!$P$4:$P$360,0)</f>
        <v>0</v>
      </c>
    </row>
    <row r="26" spans="1:14" x14ac:dyDescent="0.25">
      <c r="A26">
        <v>24</v>
      </c>
      <c r="B26" t="s">
        <v>50</v>
      </c>
      <c r="C26" s="234">
        <v>20</v>
      </c>
      <c r="D26">
        <v>17000</v>
      </c>
      <c r="E26" t="s">
        <v>64</v>
      </c>
      <c r="F26" t="str">
        <f t="shared" si="1"/>
        <v>17000 - Net Pension Asset</v>
      </c>
      <c r="G26" t="s">
        <v>199</v>
      </c>
      <c r="H26" t="s">
        <v>64</v>
      </c>
      <c r="I26" s="155">
        <v>45371</v>
      </c>
      <c r="J26" s="155">
        <v>45371</v>
      </c>
      <c r="K26" s="155"/>
      <c r="L26" s="155">
        <v>0</v>
      </c>
      <c r="M26" s="233">
        <f>_xlfn.XLOOKUP(G26,'Master Budget'!$G$4:$G$360,'Master Budget'!$O$4:$O$360,0)</f>
        <v>0</v>
      </c>
      <c r="N26" s="233">
        <f>_xlfn.XLOOKUP(G26,'Master Budget'!$G$4:$G$360,'Master Budget'!$P$4:$P$360,0)</f>
        <v>0</v>
      </c>
    </row>
    <row r="27" spans="1:14" x14ac:dyDescent="0.25">
      <c r="A27">
        <v>25</v>
      </c>
      <c r="B27" t="s">
        <v>50</v>
      </c>
      <c r="C27" s="234">
        <v>20</v>
      </c>
      <c r="D27">
        <v>17010</v>
      </c>
      <c r="E27" t="s">
        <v>66</v>
      </c>
      <c r="F27" t="str">
        <f t="shared" si="1"/>
        <v>17010 - Deferred Outflows - Pensions</v>
      </c>
      <c r="G27" t="s">
        <v>200</v>
      </c>
      <c r="H27" t="s">
        <v>201</v>
      </c>
      <c r="I27" s="155">
        <v>216455</v>
      </c>
      <c r="J27" s="155">
        <v>216455</v>
      </c>
      <c r="K27" s="155"/>
      <c r="L27" s="155">
        <v>0</v>
      </c>
      <c r="M27" s="233">
        <f>_xlfn.XLOOKUP(G27,'Master Budget'!$G$4:$G$360,'Master Budget'!$O$4:$O$360,0)</f>
        <v>0</v>
      </c>
      <c r="N27" s="233">
        <f>_xlfn.XLOOKUP(G27,'Master Budget'!$G$4:$G$360,'Master Budget'!$P$4:$P$360,0)</f>
        <v>0</v>
      </c>
    </row>
    <row r="28" spans="1:14" x14ac:dyDescent="0.25">
      <c r="A28">
        <v>26</v>
      </c>
      <c r="B28" t="s">
        <v>50</v>
      </c>
      <c r="C28" s="234">
        <v>20</v>
      </c>
      <c r="D28">
        <v>17010</v>
      </c>
      <c r="E28" t="s">
        <v>66</v>
      </c>
      <c r="F28" t="str">
        <f t="shared" si="1"/>
        <v>17010 - Deferred Outflows - Pensions</v>
      </c>
      <c r="G28" t="s">
        <v>202</v>
      </c>
      <c r="H28" t="s">
        <v>68</v>
      </c>
      <c r="I28" s="155">
        <v>0</v>
      </c>
      <c r="J28" s="155">
        <v>0</v>
      </c>
      <c r="K28" s="155"/>
      <c r="L28" s="155">
        <v>0</v>
      </c>
      <c r="M28" s="233">
        <f>_xlfn.XLOOKUP(G28,'Master Budget'!$G$4:$G$360,'Master Budget'!$O$4:$O$360,0)</f>
        <v>0</v>
      </c>
      <c r="N28" s="233">
        <f>_xlfn.XLOOKUP(G28,'Master Budget'!$G$4:$G$360,'Master Budget'!$P$4:$P$360,0)</f>
        <v>0</v>
      </c>
    </row>
    <row r="29" spans="1:14" x14ac:dyDescent="0.25">
      <c r="A29">
        <v>27</v>
      </c>
      <c r="B29" t="s">
        <v>71</v>
      </c>
      <c r="C29" s="234">
        <v>20</v>
      </c>
      <c r="D29">
        <v>21100</v>
      </c>
      <c r="E29" t="s">
        <v>70</v>
      </c>
      <c r="F29" t="str">
        <f t="shared" si="1"/>
        <v>21100 - Accounts Payable</v>
      </c>
      <c r="G29" t="s">
        <v>203</v>
      </c>
      <c r="H29" t="s">
        <v>70</v>
      </c>
      <c r="I29" s="155">
        <v>-10073.34</v>
      </c>
      <c r="J29" s="155">
        <v>8825.9699999999993</v>
      </c>
      <c r="K29" s="155"/>
      <c r="L29" s="155">
        <v>0</v>
      </c>
      <c r="M29" s="233">
        <f>_xlfn.XLOOKUP(G29,'Master Budget'!$G$4:$G$360,'Master Budget'!$O$4:$O$360,0)</f>
        <v>0</v>
      </c>
      <c r="N29" s="233">
        <f>_xlfn.XLOOKUP(G29,'Master Budget'!$G$4:$G$360,'Master Budget'!$P$4:$P$360,0)</f>
        <v>0</v>
      </c>
    </row>
    <row r="30" spans="1:14" x14ac:dyDescent="0.25">
      <c r="A30">
        <v>28</v>
      </c>
      <c r="B30" t="s">
        <v>71</v>
      </c>
      <c r="C30" s="234">
        <v>20</v>
      </c>
      <c r="D30">
        <v>21100</v>
      </c>
      <c r="E30" t="s">
        <v>70</v>
      </c>
      <c r="F30" t="str">
        <f t="shared" si="1"/>
        <v>21100 - Accounts Payable</v>
      </c>
      <c r="G30" t="s">
        <v>204</v>
      </c>
      <c r="H30" t="s">
        <v>1177</v>
      </c>
      <c r="I30" s="155">
        <v>0</v>
      </c>
      <c r="J30" s="155">
        <v>0</v>
      </c>
      <c r="K30" s="155"/>
      <c r="L30" s="155">
        <v>0</v>
      </c>
      <c r="M30" s="233">
        <f>_xlfn.XLOOKUP(G30,'Master Budget'!$G$4:$G$360,'Master Budget'!$O$4:$O$360,0)</f>
        <v>0</v>
      </c>
      <c r="N30" s="233">
        <f>_xlfn.XLOOKUP(G30,'Master Budget'!$G$4:$G$360,'Master Budget'!$P$4:$P$360,0)</f>
        <v>0</v>
      </c>
    </row>
    <row r="31" spans="1:14" x14ac:dyDescent="0.25">
      <c r="A31">
        <v>29</v>
      </c>
      <c r="B31" t="s">
        <v>71</v>
      </c>
      <c r="C31" s="234">
        <v>20</v>
      </c>
      <c r="D31">
        <v>22200</v>
      </c>
      <c r="E31" t="s">
        <v>1040</v>
      </c>
      <c r="F31" t="str">
        <f t="shared" si="1"/>
        <v>22200 - Accrued Expenses</v>
      </c>
      <c r="G31" t="s">
        <v>206</v>
      </c>
      <c r="H31" t="s">
        <v>73</v>
      </c>
      <c r="I31" s="155">
        <v>-29805.29</v>
      </c>
      <c r="J31" s="155">
        <v>-51010.18</v>
      </c>
      <c r="K31" s="155"/>
      <c r="L31" s="155">
        <v>0</v>
      </c>
      <c r="M31" s="233">
        <f>_xlfn.XLOOKUP(G31,'Master Budget'!$G$4:$G$360,'Master Budget'!$O$4:$O$360,0)</f>
        <v>0</v>
      </c>
      <c r="N31" s="233">
        <f>_xlfn.XLOOKUP(G31,'Master Budget'!$G$4:$G$360,'Master Budget'!$P$4:$P$360,0)</f>
        <v>0</v>
      </c>
    </row>
    <row r="32" spans="1:14" x14ac:dyDescent="0.25">
      <c r="A32">
        <v>30</v>
      </c>
      <c r="B32" t="s">
        <v>71</v>
      </c>
      <c r="C32" s="234">
        <v>20</v>
      </c>
      <c r="D32">
        <v>22200</v>
      </c>
      <c r="E32" t="s">
        <v>1040</v>
      </c>
      <c r="F32" t="str">
        <f t="shared" si="1"/>
        <v>22200 - Accrued Expenses</v>
      </c>
      <c r="G32" t="s">
        <v>207</v>
      </c>
      <c r="H32" t="s">
        <v>208</v>
      </c>
      <c r="I32" s="155">
        <v>0</v>
      </c>
      <c r="J32" s="155">
        <v>-8088.43</v>
      </c>
      <c r="K32" s="155"/>
      <c r="L32" s="155">
        <v>0</v>
      </c>
      <c r="M32" s="233">
        <f>_xlfn.XLOOKUP(G32,'Master Budget'!$G$4:$G$360,'Master Budget'!$O$4:$O$360,0)</f>
        <v>0</v>
      </c>
      <c r="N32" s="233">
        <f>_xlfn.XLOOKUP(G32,'Master Budget'!$G$4:$G$360,'Master Budget'!$P$4:$P$360,0)</f>
        <v>0</v>
      </c>
    </row>
    <row r="33" spans="1:14" x14ac:dyDescent="0.25">
      <c r="A33">
        <v>31</v>
      </c>
      <c r="B33" t="s">
        <v>71</v>
      </c>
      <c r="C33" s="234">
        <v>20</v>
      </c>
      <c r="D33">
        <v>22200</v>
      </c>
      <c r="E33" t="s">
        <v>1040</v>
      </c>
      <c r="F33" t="str">
        <f t="shared" si="1"/>
        <v>22200 - Accrued Expenses</v>
      </c>
      <c r="G33" t="s">
        <v>209</v>
      </c>
      <c r="H33" t="s">
        <v>210</v>
      </c>
      <c r="I33" s="155">
        <v>0</v>
      </c>
      <c r="J33" s="155">
        <v>-6350.2</v>
      </c>
      <c r="K33" s="155"/>
      <c r="L33" s="155">
        <v>0</v>
      </c>
      <c r="M33" s="233">
        <f>_xlfn.XLOOKUP(G33,'Master Budget'!$G$4:$G$360,'Master Budget'!$O$4:$O$360,0)</f>
        <v>0</v>
      </c>
      <c r="N33" s="233">
        <f>_xlfn.XLOOKUP(G33,'Master Budget'!$G$4:$G$360,'Master Budget'!$P$4:$P$360,0)</f>
        <v>0</v>
      </c>
    </row>
    <row r="34" spans="1:14" x14ac:dyDescent="0.25">
      <c r="A34">
        <v>32</v>
      </c>
      <c r="B34" t="s">
        <v>71</v>
      </c>
      <c r="C34" s="234">
        <v>20</v>
      </c>
      <c r="D34">
        <v>28560</v>
      </c>
      <c r="E34" t="s">
        <v>79</v>
      </c>
      <c r="F34" t="str">
        <f t="shared" si="1"/>
        <v>28560 - Net Pension Liability</v>
      </c>
      <c r="G34" t="s">
        <v>211</v>
      </c>
      <c r="H34" t="s">
        <v>79</v>
      </c>
      <c r="I34" s="155">
        <v>-63695</v>
      </c>
      <c r="J34" s="155">
        <v>-63695</v>
      </c>
      <c r="K34" s="155"/>
      <c r="L34" s="155">
        <v>0</v>
      </c>
      <c r="M34" s="233">
        <f>_xlfn.XLOOKUP(G34,'Master Budget'!$G$4:$G$360,'Master Budget'!$O$4:$O$360,0)</f>
        <v>0</v>
      </c>
      <c r="N34" s="233">
        <f>_xlfn.XLOOKUP(G34,'Master Budget'!$G$4:$G$360,'Master Budget'!$P$4:$P$360,0)</f>
        <v>0</v>
      </c>
    </row>
    <row r="35" spans="1:14" x14ac:dyDescent="0.25">
      <c r="A35">
        <v>33</v>
      </c>
      <c r="B35" t="s">
        <v>71</v>
      </c>
      <c r="C35" s="234">
        <v>20</v>
      </c>
      <c r="D35">
        <v>22520</v>
      </c>
      <c r="E35" t="s">
        <v>1041</v>
      </c>
      <c r="F35" t="str">
        <f t="shared" si="1"/>
        <v>22520 - Deferred inflows</v>
      </c>
      <c r="G35" t="s">
        <v>212</v>
      </c>
      <c r="H35" t="s">
        <v>213</v>
      </c>
      <c r="I35" s="155">
        <v>-5921</v>
      </c>
      <c r="J35" s="155">
        <v>-5921</v>
      </c>
      <c r="K35" s="155"/>
      <c r="L35" s="155">
        <v>0</v>
      </c>
      <c r="M35" s="233">
        <f>_xlfn.XLOOKUP(G35,'Master Budget'!$G$4:$G$360,'Master Budget'!$O$4:$O$360,0)</f>
        <v>0</v>
      </c>
      <c r="N35" s="233">
        <f>_xlfn.XLOOKUP(G35,'Master Budget'!$G$4:$G$360,'Master Budget'!$P$4:$P$360,0)</f>
        <v>0</v>
      </c>
    </row>
    <row r="36" spans="1:14" x14ac:dyDescent="0.25">
      <c r="A36">
        <v>34</v>
      </c>
      <c r="B36" t="s">
        <v>71</v>
      </c>
      <c r="C36" s="234">
        <v>20</v>
      </c>
      <c r="D36">
        <v>22200</v>
      </c>
      <c r="E36" t="s">
        <v>1040</v>
      </c>
      <c r="F36" t="str">
        <f t="shared" si="1"/>
        <v>22200 - Accrued Expenses</v>
      </c>
      <c r="G36" t="s">
        <v>214</v>
      </c>
      <c r="H36" t="s">
        <v>215</v>
      </c>
      <c r="I36" s="155">
        <v>0</v>
      </c>
      <c r="J36" s="155">
        <v>18.2</v>
      </c>
      <c r="K36" s="155"/>
      <c r="L36" s="155">
        <v>0</v>
      </c>
      <c r="M36" s="233">
        <f>_xlfn.XLOOKUP(G36,'Master Budget'!$G$4:$G$360,'Master Budget'!$O$4:$O$360,0)</f>
        <v>0</v>
      </c>
      <c r="N36" s="233">
        <f>_xlfn.XLOOKUP(G36,'Master Budget'!$G$4:$G$360,'Master Budget'!$P$4:$P$360,0)</f>
        <v>0</v>
      </c>
    </row>
    <row r="37" spans="1:14" x14ac:dyDescent="0.25">
      <c r="A37">
        <v>35</v>
      </c>
      <c r="B37" t="s">
        <v>71</v>
      </c>
      <c r="C37" s="234">
        <v>20</v>
      </c>
      <c r="D37">
        <v>22200</v>
      </c>
      <c r="E37" t="s">
        <v>1040</v>
      </c>
      <c r="F37" t="str">
        <f t="shared" si="1"/>
        <v>22200 - Accrued Expenses</v>
      </c>
      <c r="G37" t="s">
        <v>216</v>
      </c>
      <c r="H37" t="s">
        <v>217</v>
      </c>
      <c r="I37" s="155">
        <v>0</v>
      </c>
      <c r="J37" s="155">
        <v>0</v>
      </c>
      <c r="K37" s="155"/>
      <c r="L37" s="155">
        <v>0</v>
      </c>
      <c r="M37" s="233">
        <f>_xlfn.XLOOKUP(G37,'Master Budget'!$G$4:$G$360,'Master Budget'!$O$4:$O$360,0)</f>
        <v>0</v>
      </c>
      <c r="N37" s="233">
        <f>_xlfn.XLOOKUP(G37,'Master Budget'!$G$4:$G$360,'Master Budget'!$P$4:$P$360,0)</f>
        <v>0</v>
      </c>
    </row>
    <row r="38" spans="1:14" x14ac:dyDescent="0.25">
      <c r="A38">
        <v>36</v>
      </c>
      <c r="B38" t="s">
        <v>71</v>
      </c>
      <c r="C38" s="234">
        <v>20</v>
      </c>
      <c r="D38">
        <v>22200</v>
      </c>
      <c r="E38" t="s">
        <v>1040</v>
      </c>
      <c r="F38" t="str">
        <f t="shared" si="1"/>
        <v>22200 - Accrued Expenses</v>
      </c>
      <c r="G38" t="s">
        <v>218</v>
      </c>
      <c r="H38" t="s">
        <v>219</v>
      </c>
      <c r="I38" s="155">
        <v>0</v>
      </c>
      <c r="J38" s="155">
        <v>-130.77000000000001</v>
      </c>
      <c r="K38" s="155"/>
      <c r="L38" s="155">
        <v>0</v>
      </c>
      <c r="M38" s="233">
        <f>_xlfn.XLOOKUP(G38,'Master Budget'!$G$4:$G$360,'Master Budget'!$O$4:$O$360,0)</f>
        <v>0</v>
      </c>
      <c r="N38" s="233">
        <f>_xlfn.XLOOKUP(G38,'Master Budget'!$G$4:$G$360,'Master Budget'!$P$4:$P$360,0)</f>
        <v>0</v>
      </c>
    </row>
    <row r="39" spans="1:14" x14ac:dyDescent="0.25">
      <c r="A39">
        <v>37</v>
      </c>
      <c r="B39" t="s">
        <v>71</v>
      </c>
      <c r="C39" s="234">
        <v>20</v>
      </c>
      <c r="D39">
        <v>23000</v>
      </c>
      <c r="E39" t="s">
        <v>221</v>
      </c>
      <c r="F39" t="str">
        <f t="shared" si="1"/>
        <v>23000 - Unearned Revenue</v>
      </c>
      <c r="G39" t="s">
        <v>220</v>
      </c>
      <c r="H39" t="s">
        <v>221</v>
      </c>
      <c r="I39" s="155">
        <v>-84650</v>
      </c>
      <c r="J39" s="155">
        <v>-84650</v>
      </c>
      <c r="K39" s="155"/>
      <c r="L39" s="155">
        <v>0</v>
      </c>
      <c r="M39" s="233">
        <f>_xlfn.XLOOKUP(G39,'Master Budget'!$G$4:$G$360,'Master Budget'!$O$4:$O$360,0)</f>
        <v>0</v>
      </c>
      <c r="N39" s="233">
        <f>_xlfn.XLOOKUP(G39,'Master Budget'!$G$4:$G$360,'Master Budget'!$P$4:$P$360,0)</f>
        <v>0</v>
      </c>
    </row>
    <row r="40" spans="1:14" x14ac:dyDescent="0.25">
      <c r="A40">
        <v>38</v>
      </c>
      <c r="B40" t="s">
        <v>71</v>
      </c>
      <c r="C40" s="234">
        <v>20</v>
      </c>
      <c r="D40">
        <v>22200</v>
      </c>
      <c r="E40" t="s">
        <v>1040</v>
      </c>
      <c r="F40" t="str">
        <f t="shared" si="1"/>
        <v>22200 - Accrued Expenses</v>
      </c>
      <c r="G40" t="s">
        <v>222</v>
      </c>
      <c r="H40" t="s">
        <v>89</v>
      </c>
      <c r="I40" s="155">
        <v>-16358</v>
      </c>
      <c r="J40" s="155">
        <v>-16358</v>
      </c>
      <c r="K40" s="155"/>
      <c r="L40" s="155">
        <v>0</v>
      </c>
      <c r="M40" s="233">
        <f>_xlfn.XLOOKUP(G40,'Master Budget'!$G$4:$G$360,'Master Budget'!$O$4:$O$360,0)</f>
        <v>0</v>
      </c>
      <c r="N40" s="233">
        <f>_xlfn.XLOOKUP(G40,'Master Budget'!$G$4:$G$360,'Master Budget'!$P$4:$P$360,0)</f>
        <v>0</v>
      </c>
    </row>
    <row r="41" spans="1:14" x14ac:dyDescent="0.25">
      <c r="A41">
        <v>39</v>
      </c>
      <c r="B41" t="s">
        <v>71</v>
      </c>
      <c r="C41" s="234">
        <v>20</v>
      </c>
      <c r="D41">
        <v>22250</v>
      </c>
      <c r="E41" t="s">
        <v>1178</v>
      </c>
      <c r="F41" t="str">
        <f t="shared" si="1"/>
        <v>22250 - Compensated Absences Noncurrent</v>
      </c>
      <c r="G41" t="s">
        <v>223</v>
      </c>
      <c r="H41" t="s">
        <v>1178</v>
      </c>
      <c r="I41" s="155">
        <v>-27782</v>
      </c>
      <c r="J41" s="155">
        <v>-27782</v>
      </c>
      <c r="K41" s="155"/>
      <c r="L41" s="155">
        <v>0</v>
      </c>
      <c r="M41" s="233">
        <f>_xlfn.XLOOKUP(G41,'Master Budget'!$G$4:$G$360,'Master Budget'!$O$4:$O$360,0)</f>
        <v>0</v>
      </c>
      <c r="N41" s="233">
        <f>_xlfn.XLOOKUP(G41,'Master Budget'!$G$4:$G$360,'Master Budget'!$P$4:$P$360,0)</f>
        <v>0</v>
      </c>
    </row>
    <row r="42" spans="1:14" x14ac:dyDescent="0.25">
      <c r="A42">
        <v>41</v>
      </c>
      <c r="B42" t="s">
        <v>71</v>
      </c>
      <c r="C42" s="234">
        <v>20</v>
      </c>
      <c r="D42">
        <v>28000</v>
      </c>
      <c r="E42" t="s">
        <v>227</v>
      </c>
      <c r="F42" t="str">
        <f t="shared" si="1"/>
        <v>28000 - Accrued Interest Payable</v>
      </c>
      <c r="G42" t="s">
        <v>226</v>
      </c>
      <c r="H42" t="s">
        <v>227</v>
      </c>
      <c r="I42" s="155">
        <v>-371.01</v>
      </c>
      <c r="J42" s="155">
        <v>-371.01</v>
      </c>
      <c r="K42" s="155"/>
      <c r="L42" s="155">
        <v>0</v>
      </c>
      <c r="M42" s="233">
        <f>_xlfn.XLOOKUP(G42,'Master Budget'!$G$4:$G$360,'Master Budget'!$O$4:$O$360,0)</f>
        <v>0</v>
      </c>
      <c r="N42" s="233">
        <f>_xlfn.XLOOKUP(G42,'Master Budget'!$G$4:$G$360,'Master Budget'!$P$4:$P$360,0)</f>
        <v>0</v>
      </c>
    </row>
    <row r="43" spans="1:14" x14ac:dyDescent="0.25">
      <c r="A43">
        <v>42</v>
      </c>
      <c r="B43" t="s">
        <v>71</v>
      </c>
      <c r="C43" s="234">
        <v>20</v>
      </c>
      <c r="D43">
        <v>28510</v>
      </c>
      <c r="E43" t="s">
        <v>1179</v>
      </c>
      <c r="F43" t="str">
        <f t="shared" si="1"/>
        <v>28510 - Notes Payable - Noncurrent</v>
      </c>
      <c r="G43" t="s">
        <v>228</v>
      </c>
      <c r="H43" t="s">
        <v>229</v>
      </c>
      <c r="I43" s="155">
        <v>-67721.31</v>
      </c>
      <c r="J43" s="155">
        <v>-57539.8</v>
      </c>
      <c r="K43" s="155"/>
      <c r="L43" s="155">
        <v>0</v>
      </c>
      <c r="M43" s="233">
        <f>_xlfn.XLOOKUP(G43,'Master Budget'!$G$4:$G$360,'Master Budget'!$O$4:$O$360,0)</f>
        <v>0</v>
      </c>
      <c r="N43" s="233">
        <f>_xlfn.XLOOKUP(G43,'Master Budget'!$G$4:$G$360,'Master Budget'!$P$4:$P$360,0)</f>
        <v>0</v>
      </c>
    </row>
    <row r="44" spans="1:14" x14ac:dyDescent="0.25">
      <c r="A44">
        <v>43</v>
      </c>
      <c r="B44" t="s">
        <v>71</v>
      </c>
      <c r="C44" s="234">
        <v>20</v>
      </c>
      <c r="D44">
        <v>28505</v>
      </c>
      <c r="E44" t="s">
        <v>1043</v>
      </c>
      <c r="F44" t="str">
        <f t="shared" si="1"/>
        <v>28505 - Notes Payable - Current</v>
      </c>
      <c r="G44" t="s">
        <v>230</v>
      </c>
      <c r="H44" t="s">
        <v>231</v>
      </c>
      <c r="I44" s="155">
        <v>-20552</v>
      </c>
      <c r="J44" s="155">
        <v>-20552</v>
      </c>
      <c r="K44" s="155"/>
      <c r="L44" s="155">
        <v>0</v>
      </c>
      <c r="M44" s="233">
        <f>_xlfn.XLOOKUP(G44,'Master Budget'!$G$4:$G$360,'Master Budget'!$O$4:$O$360,0)</f>
        <v>0</v>
      </c>
      <c r="N44" s="233">
        <f>_xlfn.XLOOKUP(G44,'Master Budget'!$G$4:$G$360,'Master Budget'!$P$4:$P$360,0)</f>
        <v>0</v>
      </c>
    </row>
    <row r="45" spans="1:14" x14ac:dyDescent="0.25">
      <c r="A45">
        <v>44</v>
      </c>
      <c r="B45" t="s">
        <v>71</v>
      </c>
      <c r="C45" s="234">
        <v>20</v>
      </c>
      <c r="D45">
        <v>28520</v>
      </c>
      <c r="E45" t="s">
        <v>1230</v>
      </c>
      <c r="F45" t="str">
        <f t="shared" si="1"/>
        <v>28520 - capital Leases Payable  - Noncurrent</v>
      </c>
      <c r="G45" t="s">
        <v>232</v>
      </c>
      <c r="H45" t="s">
        <v>1231</v>
      </c>
      <c r="I45" s="155">
        <v>0</v>
      </c>
      <c r="J45" s="155">
        <v>0</v>
      </c>
      <c r="K45" s="155"/>
      <c r="L45" s="155">
        <v>0</v>
      </c>
      <c r="M45" s="233">
        <f>_xlfn.XLOOKUP(G45,'Master Budget'!$G$4:$G$360,'Master Budget'!$O$4:$O$360,0)</f>
        <v>0</v>
      </c>
      <c r="N45" s="233">
        <f>_xlfn.XLOOKUP(G45,'Master Budget'!$G$4:$G$360,'Master Budget'!$P$4:$P$360,0)</f>
        <v>0</v>
      </c>
    </row>
    <row r="46" spans="1:14" x14ac:dyDescent="0.25">
      <c r="A46">
        <v>45</v>
      </c>
      <c r="B46" t="s">
        <v>71</v>
      </c>
      <c r="C46" s="234">
        <v>20</v>
      </c>
      <c r="D46">
        <v>28521</v>
      </c>
      <c r="E46" t="s">
        <v>1232</v>
      </c>
      <c r="F46" t="str">
        <f t="shared" si="1"/>
        <v>28521 - capital Leases Payable - Current</v>
      </c>
      <c r="G46" t="s">
        <v>234</v>
      </c>
      <c r="H46" t="s">
        <v>235</v>
      </c>
      <c r="I46" s="155">
        <v>0</v>
      </c>
      <c r="J46" s="155">
        <v>0</v>
      </c>
      <c r="K46" s="155"/>
      <c r="L46" s="155">
        <v>0</v>
      </c>
      <c r="M46" s="233">
        <f>_xlfn.XLOOKUP(G46,'Master Budget'!$G$4:$G$360,'Master Budget'!$O$4:$O$360,0)</f>
        <v>0</v>
      </c>
      <c r="N46" s="233">
        <f>_xlfn.XLOOKUP(G46,'Master Budget'!$G$4:$G$360,'Master Budget'!$P$4:$P$360,0)</f>
        <v>0</v>
      </c>
    </row>
    <row r="47" spans="1:14" x14ac:dyDescent="0.25">
      <c r="A47">
        <v>46</v>
      </c>
      <c r="B47" t="s">
        <v>71</v>
      </c>
      <c r="C47" s="234">
        <v>20</v>
      </c>
      <c r="D47">
        <v>28505</v>
      </c>
      <c r="E47" t="s">
        <v>1043</v>
      </c>
      <c r="F47" t="str">
        <f t="shared" si="1"/>
        <v>28505 - Notes Payable - Current</v>
      </c>
      <c r="G47" t="s">
        <v>238</v>
      </c>
      <c r="H47" t="s">
        <v>1181</v>
      </c>
      <c r="I47" s="155">
        <v>0</v>
      </c>
      <c r="J47" s="155">
        <v>0</v>
      </c>
      <c r="K47" s="155"/>
      <c r="L47" s="155">
        <v>0</v>
      </c>
      <c r="M47" s="233">
        <f>_xlfn.XLOOKUP(G47,'Master Budget'!$G$4:$G$360,'Master Budget'!$O$4:$O$360,0)</f>
        <v>0</v>
      </c>
      <c r="N47" s="233">
        <f>_xlfn.XLOOKUP(G47,'Master Budget'!$G$4:$G$360,'Master Budget'!$P$4:$P$360,0)</f>
        <v>0</v>
      </c>
    </row>
    <row r="48" spans="1:14" x14ac:dyDescent="0.25">
      <c r="A48">
        <v>47</v>
      </c>
      <c r="B48" t="s">
        <v>71</v>
      </c>
      <c r="C48" s="234">
        <v>20</v>
      </c>
      <c r="D48">
        <v>28540</v>
      </c>
      <c r="E48" t="s">
        <v>1182</v>
      </c>
      <c r="F48" t="str">
        <f t="shared" si="1"/>
        <v>28540 - Bonds Payable - Noncurrent</v>
      </c>
      <c r="G48" t="s">
        <v>239</v>
      </c>
      <c r="H48" t="s">
        <v>1047</v>
      </c>
      <c r="I48" s="155">
        <v>0</v>
      </c>
      <c r="J48" s="155">
        <v>0</v>
      </c>
      <c r="K48" s="155"/>
      <c r="L48" s="155">
        <v>0</v>
      </c>
      <c r="M48" s="233">
        <f>_xlfn.XLOOKUP(G48,'Master Budget'!$G$4:$G$360,'Master Budget'!$O$4:$O$360,0)</f>
        <v>0</v>
      </c>
      <c r="N48" s="233">
        <f>_xlfn.XLOOKUP(G48,'Master Budget'!$G$4:$G$360,'Master Budget'!$P$4:$P$360,0)</f>
        <v>0</v>
      </c>
    </row>
    <row r="49" spans="1:14" x14ac:dyDescent="0.25">
      <c r="A49">
        <v>48</v>
      </c>
      <c r="B49" t="s">
        <v>71</v>
      </c>
      <c r="C49" s="234">
        <v>20</v>
      </c>
      <c r="D49">
        <v>28541</v>
      </c>
      <c r="E49" t="s">
        <v>1048</v>
      </c>
      <c r="F49" t="str">
        <f t="shared" si="1"/>
        <v>28541 - Bonds Payable - Current</v>
      </c>
      <c r="G49" t="s">
        <v>241</v>
      </c>
      <c r="H49" t="s">
        <v>242</v>
      </c>
      <c r="I49" s="155">
        <v>0</v>
      </c>
      <c r="J49" s="155">
        <v>0</v>
      </c>
      <c r="K49" s="155"/>
      <c r="L49" s="155">
        <v>0</v>
      </c>
      <c r="M49" s="233">
        <f>_xlfn.XLOOKUP(G49,'Master Budget'!$G$4:$G$360,'Master Budget'!$O$4:$O$360,0)</f>
        <v>0</v>
      </c>
      <c r="N49" s="233">
        <f>_xlfn.XLOOKUP(G49,'Master Budget'!$G$4:$G$360,'Master Budget'!$P$4:$P$360,0)</f>
        <v>0</v>
      </c>
    </row>
    <row r="50" spans="1:14" x14ac:dyDescent="0.25">
      <c r="A50">
        <v>49</v>
      </c>
      <c r="B50" t="s">
        <v>71</v>
      </c>
      <c r="C50" s="234">
        <v>20</v>
      </c>
      <c r="D50">
        <v>28510</v>
      </c>
      <c r="E50" t="s">
        <v>1179</v>
      </c>
      <c r="F50" t="str">
        <f t="shared" si="1"/>
        <v>28510 - Notes Payable - Noncurrent</v>
      </c>
      <c r="G50" t="s">
        <v>243</v>
      </c>
      <c r="H50" t="s">
        <v>244</v>
      </c>
      <c r="I50" s="155">
        <v>0</v>
      </c>
      <c r="J50" s="155">
        <v>0</v>
      </c>
      <c r="K50" s="155"/>
      <c r="L50" s="155">
        <v>0</v>
      </c>
      <c r="M50" s="233">
        <f>_xlfn.XLOOKUP(G50,'Master Budget'!$G$4:$G$360,'Master Budget'!$O$4:$O$360,0)</f>
        <v>0</v>
      </c>
      <c r="N50" s="233">
        <f>_xlfn.XLOOKUP(G50,'Master Budget'!$G$4:$G$360,'Master Budget'!$P$4:$P$360,0)</f>
        <v>0</v>
      </c>
    </row>
    <row r="51" spans="1:14" x14ac:dyDescent="0.25">
      <c r="A51">
        <v>50</v>
      </c>
      <c r="B51" t="s">
        <v>1049</v>
      </c>
      <c r="C51" s="234">
        <v>20</v>
      </c>
      <c r="D51">
        <v>29100</v>
      </c>
      <c r="E51" t="s">
        <v>1050</v>
      </c>
      <c r="F51" t="str">
        <f t="shared" si="1"/>
        <v>29100 - Unrestricted</v>
      </c>
      <c r="G51" t="s">
        <v>245</v>
      </c>
      <c r="H51" t="s">
        <v>246</v>
      </c>
      <c r="I51" s="155">
        <v>-1363013.38</v>
      </c>
      <c r="J51" s="155">
        <v>-1172311.18</v>
      </c>
      <c r="K51" s="155"/>
      <c r="L51" s="155">
        <v>0</v>
      </c>
      <c r="M51" s="233">
        <f>_xlfn.XLOOKUP(G51,'Master Budget'!$G$4:$G$360,'Master Budget'!$O$4:$O$360,0)</f>
        <v>0</v>
      </c>
      <c r="N51" s="233">
        <f>_xlfn.XLOOKUP(G51,'Master Budget'!$G$4:$G$360,'Master Budget'!$P$4:$P$360,0)</f>
        <v>0</v>
      </c>
    </row>
    <row r="52" spans="1:14" x14ac:dyDescent="0.25">
      <c r="A52">
        <v>51</v>
      </c>
      <c r="B52" t="s">
        <v>97</v>
      </c>
      <c r="C52" s="234">
        <v>20</v>
      </c>
      <c r="D52">
        <v>30</v>
      </c>
      <c r="E52" t="s">
        <v>6</v>
      </c>
      <c r="F52" t="str">
        <f t="shared" si="1"/>
        <v>30 - Charges for services</v>
      </c>
      <c r="G52" t="s">
        <v>247</v>
      </c>
      <c r="H52" t="s">
        <v>248</v>
      </c>
      <c r="I52" s="155">
        <v>0</v>
      </c>
      <c r="J52" s="155">
        <v>0</v>
      </c>
      <c r="K52" s="155">
        <f t="shared" ref="K52:K114" si="2">J52/9*12</f>
        <v>0</v>
      </c>
      <c r="L52" s="155">
        <v>0</v>
      </c>
      <c r="M52" s="233">
        <f>_xlfn.XLOOKUP(G52,'Master Budget'!$G$4:$G$360,'Master Budget'!$O$4:$O$360,0)</f>
        <v>0</v>
      </c>
      <c r="N52" s="233">
        <f>_xlfn.XLOOKUP(G52,'Master Budget'!$G$4:$G$360,'Master Budget'!$P$4:$P$360,0)</f>
        <v>0</v>
      </c>
    </row>
    <row r="53" spans="1:14" x14ac:dyDescent="0.25">
      <c r="A53">
        <v>52</v>
      </c>
      <c r="B53" t="s">
        <v>97</v>
      </c>
      <c r="C53" s="234">
        <v>20</v>
      </c>
      <c r="D53">
        <v>30</v>
      </c>
      <c r="E53" t="s">
        <v>6</v>
      </c>
      <c r="F53" t="str">
        <f t="shared" si="1"/>
        <v>30 - Charges for services</v>
      </c>
      <c r="G53" t="s">
        <v>249</v>
      </c>
      <c r="H53" t="s">
        <v>250</v>
      </c>
      <c r="I53" s="155">
        <v>-870179.09</v>
      </c>
      <c r="J53" s="155">
        <v>-729867.04</v>
      </c>
      <c r="K53" s="155">
        <f t="shared" si="2"/>
        <v>-973156.05333333334</v>
      </c>
      <c r="L53" s="155">
        <v>-898000</v>
      </c>
      <c r="M53" s="233">
        <f>_xlfn.XLOOKUP(G53,'Master Budget'!$G$4:$G$360,'Master Budget'!$O$4:$O$360,0)</f>
        <v>-898000</v>
      </c>
      <c r="N53" s="233">
        <f>_xlfn.XLOOKUP(G53,'Master Budget'!$G$4:$G$360,'Master Budget'!$P$4:$P$360,0)</f>
        <v>-933078.32</v>
      </c>
    </row>
    <row r="54" spans="1:14" x14ac:dyDescent="0.25">
      <c r="A54">
        <v>53</v>
      </c>
      <c r="B54" t="s">
        <v>97</v>
      </c>
      <c r="C54" s="234">
        <v>20</v>
      </c>
      <c r="D54">
        <v>70</v>
      </c>
      <c r="E54" t="s">
        <v>20</v>
      </c>
      <c r="F54" t="str">
        <f t="shared" si="1"/>
        <v>70 - Grant revenue</v>
      </c>
      <c r="G54" t="s">
        <v>251</v>
      </c>
      <c r="H54" t="s">
        <v>252</v>
      </c>
      <c r="I54" s="155">
        <v>-14130</v>
      </c>
      <c r="J54" s="155">
        <v>-3449</v>
      </c>
      <c r="K54" s="155">
        <f t="shared" si="2"/>
        <v>-4598.666666666667</v>
      </c>
      <c r="L54" s="155">
        <v>-100000</v>
      </c>
      <c r="M54" s="233">
        <f>_xlfn.XLOOKUP(G54,'Master Budget'!$G$4:$G$360,'Master Budget'!$O$4:$O$360,0)</f>
        <v>-100000</v>
      </c>
      <c r="N54" s="233">
        <f>_xlfn.XLOOKUP(G54,'Master Budget'!$G$4:$G$360,'Master Budget'!$P$4:$P$360,0)</f>
        <v>-55250</v>
      </c>
    </row>
    <row r="55" spans="1:14" x14ac:dyDescent="0.25">
      <c r="A55">
        <v>54</v>
      </c>
      <c r="B55" t="s">
        <v>97</v>
      </c>
      <c r="C55" s="234">
        <v>20</v>
      </c>
      <c r="D55">
        <v>30</v>
      </c>
      <c r="E55" t="s">
        <v>6</v>
      </c>
      <c r="F55" t="str">
        <f t="shared" si="1"/>
        <v>30 - Charges for services</v>
      </c>
      <c r="G55" t="s">
        <v>253</v>
      </c>
      <c r="H55" t="s">
        <v>254</v>
      </c>
      <c r="I55" s="155">
        <v>-175806.99</v>
      </c>
      <c r="J55" s="155">
        <v>-64465.95</v>
      </c>
      <c r="K55" s="155">
        <f t="shared" si="2"/>
        <v>-85954.6</v>
      </c>
      <c r="L55" s="155">
        <v>-140000</v>
      </c>
      <c r="M55" s="233">
        <f>_xlfn.XLOOKUP(G55,'Master Budget'!$G$4:$G$360,'Master Budget'!$O$4:$O$360,0)</f>
        <v>-140000</v>
      </c>
      <c r="N55" s="233">
        <f>_xlfn.XLOOKUP(G55,'Master Budget'!$G$4:$G$360,'Master Budget'!$P$4:$P$360,0)</f>
        <v>-156000</v>
      </c>
    </row>
    <row r="56" spans="1:14" x14ac:dyDescent="0.25">
      <c r="A56">
        <v>55</v>
      </c>
      <c r="B56" t="s">
        <v>97</v>
      </c>
      <c r="C56" s="234">
        <v>20</v>
      </c>
      <c r="D56">
        <v>960</v>
      </c>
      <c r="E56" t="s">
        <v>19</v>
      </c>
      <c r="F56" t="str">
        <f t="shared" si="1"/>
        <v>960 - Interest income</v>
      </c>
      <c r="G56" t="s">
        <v>255</v>
      </c>
      <c r="H56" t="s">
        <v>256</v>
      </c>
      <c r="I56" s="155">
        <v>-9303.2999999999993</v>
      </c>
      <c r="J56" s="155">
        <v>-3247.73</v>
      </c>
      <c r="K56" s="155">
        <f t="shared" si="2"/>
        <v>-4330.3066666666664</v>
      </c>
      <c r="L56" s="155">
        <v>-14000</v>
      </c>
      <c r="M56" s="233">
        <f>_xlfn.XLOOKUP(G56,'Master Budget'!$G$4:$G$360,'Master Budget'!$O$4:$O$360,0)</f>
        <v>-14000</v>
      </c>
      <c r="N56" s="233">
        <f>_xlfn.XLOOKUP(G56,'Master Budget'!$G$4:$G$360,'Master Budget'!$P$4:$P$360,0)</f>
        <v>-9000</v>
      </c>
    </row>
    <row r="57" spans="1:14" x14ac:dyDescent="0.25">
      <c r="A57">
        <v>56</v>
      </c>
      <c r="B57" t="s">
        <v>97</v>
      </c>
      <c r="C57" s="234">
        <v>20</v>
      </c>
      <c r="D57">
        <v>40</v>
      </c>
      <c r="E57" t="s">
        <v>881</v>
      </c>
      <c r="F57" t="str">
        <f t="shared" si="1"/>
        <v>40 - Miscellaneous income</v>
      </c>
      <c r="G57" t="s">
        <v>257</v>
      </c>
      <c r="H57" t="s">
        <v>99</v>
      </c>
      <c r="I57" s="155">
        <v>-775</v>
      </c>
      <c r="J57" s="155">
        <v>0</v>
      </c>
      <c r="K57" s="155">
        <f t="shared" si="2"/>
        <v>0</v>
      </c>
      <c r="L57" s="155">
        <v>-1300</v>
      </c>
      <c r="M57" s="233">
        <f>_xlfn.XLOOKUP(G57,'Master Budget'!$G$4:$G$360,'Master Budget'!$O$4:$O$360,0)</f>
        <v>-1300</v>
      </c>
      <c r="N57" s="233">
        <f>_xlfn.XLOOKUP(G57,'Master Budget'!$G$4:$G$360,'Master Budget'!$P$4:$P$360,0)</f>
        <v>-1300</v>
      </c>
    </row>
    <row r="58" spans="1:14" x14ac:dyDescent="0.25">
      <c r="A58">
        <v>57</v>
      </c>
      <c r="B58" t="s">
        <v>97</v>
      </c>
      <c r="C58" s="234">
        <v>20</v>
      </c>
      <c r="D58">
        <v>950</v>
      </c>
      <c r="E58" t="s">
        <v>17</v>
      </c>
      <c r="F58" t="str">
        <f t="shared" si="1"/>
        <v>950 - Property Taxes</v>
      </c>
      <c r="G58" t="s">
        <v>258</v>
      </c>
      <c r="H58" t="s">
        <v>259</v>
      </c>
      <c r="I58" s="155">
        <v>-102677.18</v>
      </c>
      <c r="J58" s="155">
        <v>-6902.11</v>
      </c>
      <c r="K58" s="155">
        <f t="shared" si="2"/>
        <v>-9202.8133333333317</v>
      </c>
      <c r="L58" s="155">
        <v>-85000</v>
      </c>
      <c r="M58" s="233">
        <f>_xlfn.XLOOKUP(G58,'Master Budget'!$G$4:$G$360,'Master Budget'!$O$4:$O$360,0)</f>
        <v>-85000</v>
      </c>
      <c r="N58" s="233">
        <f>_xlfn.XLOOKUP(G58,'Master Budget'!$G$4:$G$360,'Master Budget'!$P$4:$P$360,0)</f>
        <v>-85000</v>
      </c>
    </row>
    <row r="59" spans="1:14" x14ac:dyDescent="0.25">
      <c r="A59">
        <v>58</v>
      </c>
      <c r="B59" t="s">
        <v>97</v>
      </c>
      <c r="C59" s="234">
        <v>20</v>
      </c>
      <c r="D59">
        <v>960</v>
      </c>
      <c r="E59" t="s">
        <v>19</v>
      </c>
      <c r="F59" t="str">
        <f t="shared" si="1"/>
        <v>960 - Interest income</v>
      </c>
      <c r="G59" t="s">
        <v>260</v>
      </c>
      <c r="H59" t="s">
        <v>261</v>
      </c>
      <c r="I59" s="155">
        <v>-35801.94</v>
      </c>
      <c r="J59" s="155">
        <v>-25238.14</v>
      </c>
      <c r="K59" s="155">
        <f t="shared" si="2"/>
        <v>-33650.853333333333</v>
      </c>
      <c r="L59" s="155">
        <v>-25000</v>
      </c>
      <c r="M59" s="233">
        <f>_xlfn.XLOOKUP(G59,'Master Budget'!$G$4:$G$360,'Master Budget'!$O$4:$O$360,0)</f>
        <v>-25000</v>
      </c>
      <c r="N59" s="233">
        <f>_xlfn.XLOOKUP(G59,'Master Budget'!$G$4:$G$360,'Master Budget'!$P$4:$P$360,0)</f>
        <v>-31000</v>
      </c>
    </row>
    <row r="60" spans="1:14" x14ac:dyDescent="0.25">
      <c r="A60">
        <v>59</v>
      </c>
      <c r="B60" t="s">
        <v>97</v>
      </c>
      <c r="C60" s="234">
        <v>20</v>
      </c>
      <c r="D60">
        <v>60</v>
      </c>
      <c r="E60" t="s">
        <v>18</v>
      </c>
      <c r="F60" t="str">
        <f t="shared" si="1"/>
        <v>60 - Donations</v>
      </c>
      <c r="G60" t="s">
        <v>262</v>
      </c>
      <c r="H60" t="s">
        <v>263</v>
      </c>
      <c r="I60" s="155">
        <v>-19533.349999999999</v>
      </c>
      <c r="J60" s="155">
        <v>-12514.72</v>
      </c>
      <c r="K60" s="155">
        <f t="shared" si="2"/>
        <v>-16686.293333333331</v>
      </c>
      <c r="L60" s="155">
        <v>-15000</v>
      </c>
      <c r="M60" s="233">
        <f>_xlfn.XLOOKUP(G60,'Master Budget'!$G$4:$G$360,'Master Budget'!$O$4:$O$360,0)</f>
        <v>-15000</v>
      </c>
      <c r="N60" s="233">
        <f>_xlfn.XLOOKUP(G60,'Master Budget'!$G$4:$G$360,'Master Budget'!$P$4:$P$360,0)</f>
        <v>-15000</v>
      </c>
    </row>
    <row r="61" spans="1:14" x14ac:dyDescent="0.25">
      <c r="A61">
        <v>60</v>
      </c>
      <c r="B61" t="s">
        <v>97</v>
      </c>
      <c r="C61" s="234">
        <v>20</v>
      </c>
      <c r="D61">
        <v>30</v>
      </c>
      <c r="E61" t="s">
        <v>6</v>
      </c>
      <c r="F61" t="str">
        <f t="shared" si="1"/>
        <v>30 - Charges for services</v>
      </c>
      <c r="G61" t="s">
        <v>264</v>
      </c>
      <c r="H61" t="s">
        <v>1051</v>
      </c>
      <c r="I61" s="155">
        <v>-63232.45</v>
      </c>
      <c r="J61" s="155">
        <v>-88636.21</v>
      </c>
      <c r="K61" s="232">
        <f>J61</f>
        <v>-88636.21</v>
      </c>
      <c r="L61" s="155">
        <v>-80000</v>
      </c>
      <c r="M61" s="233">
        <f>_xlfn.XLOOKUP(G61,'Master Budget'!$G$4:$G$360,'Master Budget'!$O$4:$O$360,0)</f>
        <v>-88000</v>
      </c>
      <c r="N61" s="233">
        <f>_xlfn.XLOOKUP(G61,'Master Budget'!$G$4:$G$360,'Master Budget'!$P$4:$P$360,0)</f>
        <v>-100000</v>
      </c>
    </row>
    <row r="62" spans="1:14" x14ac:dyDescent="0.25">
      <c r="A62">
        <v>62</v>
      </c>
      <c r="B62" t="s">
        <v>102</v>
      </c>
      <c r="C62" s="234">
        <v>20</v>
      </c>
      <c r="D62">
        <v>100</v>
      </c>
      <c r="E62" t="s">
        <v>9</v>
      </c>
      <c r="F62" t="str">
        <f t="shared" si="1"/>
        <v>100 - Salaries and Benefits</v>
      </c>
      <c r="G62" t="s">
        <v>268</v>
      </c>
      <c r="H62" t="s">
        <v>101</v>
      </c>
      <c r="I62" s="155">
        <v>739589.77</v>
      </c>
      <c r="J62" s="155">
        <v>581541.52</v>
      </c>
      <c r="K62" s="155">
        <f t="shared" si="2"/>
        <v>775388.69333333336</v>
      </c>
      <c r="L62" s="155">
        <v>821625</v>
      </c>
      <c r="M62" s="233">
        <f>_xlfn.XLOOKUP(G62,'Master Budget'!$G$4:$G$360,'Master Budget'!$O$4:$O$360,0)</f>
        <v>821625</v>
      </c>
      <c r="N62" s="233">
        <f>_xlfn.XLOOKUP(G62,'Master Budget'!$G$4:$G$360,'Master Budget'!$P$4:$P$360,0)</f>
        <v>752263.28600000008</v>
      </c>
    </row>
    <row r="63" spans="1:14" x14ac:dyDescent="0.25">
      <c r="A63">
        <v>63</v>
      </c>
      <c r="B63" t="s">
        <v>102</v>
      </c>
      <c r="C63" s="234">
        <v>20</v>
      </c>
      <c r="D63">
        <v>100</v>
      </c>
      <c r="E63" t="s">
        <v>9</v>
      </c>
      <c r="F63" t="str">
        <f t="shared" si="1"/>
        <v>100 - Salaries and Benefits</v>
      </c>
      <c r="G63" t="s">
        <v>269</v>
      </c>
      <c r="H63" t="s">
        <v>104</v>
      </c>
      <c r="I63" s="155">
        <v>51047.77</v>
      </c>
      <c r="J63" s="155">
        <v>44878.22</v>
      </c>
      <c r="K63" s="155">
        <f t="shared" si="2"/>
        <v>59837.626666666663</v>
      </c>
      <c r="L63" s="155">
        <v>62854.312500000007</v>
      </c>
      <c r="M63" s="233">
        <f>_xlfn.XLOOKUP(G63,'Master Budget'!$G$4:$G$360,'Master Budget'!$O$4:$O$360,0)</f>
        <v>62854.31</v>
      </c>
      <c r="N63" s="233">
        <f>_xlfn.XLOOKUP(G63,'Master Budget'!$G$4:$G$360,'Master Budget'!$P$4:$P$360,0)</f>
        <v>57548.141378999993</v>
      </c>
    </row>
    <row r="64" spans="1:14" x14ac:dyDescent="0.25">
      <c r="A64">
        <v>64</v>
      </c>
      <c r="B64" t="s">
        <v>102</v>
      </c>
      <c r="C64" s="234">
        <v>20</v>
      </c>
      <c r="D64">
        <v>100</v>
      </c>
      <c r="E64" t="s">
        <v>9</v>
      </c>
      <c r="F64" t="str">
        <f t="shared" si="1"/>
        <v>100 - Salaries and Benefits</v>
      </c>
      <c r="G64" t="s">
        <v>270</v>
      </c>
      <c r="H64" t="s">
        <v>106</v>
      </c>
      <c r="I64" s="155">
        <v>134808.56</v>
      </c>
      <c r="J64" s="155">
        <v>116958.44</v>
      </c>
      <c r="K64" s="155">
        <f t="shared" si="2"/>
        <v>155944.58666666667</v>
      </c>
      <c r="L64" s="155">
        <v>125685</v>
      </c>
      <c r="M64" s="233">
        <f>_xlfn.XLOOKUP(G64,'Master Budget'!$G$4:$G$360,'Master Budget'!$O$4:$O$360,0)</f>
        <v>157685</v>
      </c>
      <c r="N64" s="233">
        <f>_xlfn.XLOOKUP(G64,'Master Budget'!$G$4:$G$360,'Master Budget'!$P$4:$P$360,0)</f>
        <v>98664.842199999999</v>
      </c>
    </row>
    <row r="65" spans="1:14" x14ac:dyDescent="0.25">
      <c r="A65">
        <v>65</v>
      </c>
      <c r="B65" t="s">
        <v>102</v>
      </c>
      <c r="C65" s="234">
        <v>20</v>
      </c>
      <c r="D65">
        <v>100</v>
      </c>
      <c r="E65" t="s">
        <v>9</v>
      </c>
      <c r="F65" t="str">
        <f t="shared" si="1"/>
        <v>100 - Salaries and Benefits</v>
      </c>
      <c r="G65" t="s">
        <v>271</v>
      </c>
      <c r="H65" t="s">
        <v>108</v>
      </c>
      <c r="I65" s="155">
        <v>104545.86</v>
      </c>
      <c r="J65" s="155">
        <v>103997.06</v>
      </c>
      <c r="K65" s="155">
        <f t="shared" si="2"/>
        <v>138662.74666666667</v>
      </c>
      <c r="L65" s="155">
        <v>277457.47499999998</v>
      </c>
      <c r="M65" s="233">
        <f>_xlfn.XLOOKUP(G65,'Master Budget'!$G$4:$G$360,'Master Budget'!$O$4:$O$360,0)</f>
        <v>277457.48</v>
      </c>
      <c r="N65" s="233">
        <f>_xlfn.XLOOKUP(G65,'Master Budget'!$G$4:$G$360,'Master Budget'!$P$4:$P$360,0)</f>
        <v>183789.54084</v>
      </c>
    </row>
    <row r="66" spans="1:14" x14ac:dyDescent="0.25">
      <c r="A66">
        <v>66</v>
      </c>
      <c r="B66" t="s">
        <v>102</v>
      </c>
      <c r="C66" s="234">
        <v>20</v>
      </c>
      <c r="D66">
        <v>100</v>
      </c>
      <c r="E66" t="s">
        <v>9</v>
      </c>
      <c r="F66" t="str">
        <f t="shared" ref="F66:F129" si="3">D66&amp;" - "&amp;E66</f>
        <v>100 - Salaries and Benefits</v>
      </c>
      <c r="G66" t="s">
        <v>272</v>
      </c>
      <c r="H66" t="s">
        <v>110</v>
      </c>
      <c r="I66" s="155">
        <v>15223.65</v>
      </c>
      <c r="J66" s="155">
        <v>8700.5499999999993</v>
      </c>
      <c r="K66" s="155">
        <f t="shared" si="2"/>
        <v>11600.733333333332</v>
      </c>
      <c r="L66" s="155">
        <v>16432.5</v>
      </c>
      <c r="M66" s="233">
        <f>_xlfn.XLOOKUP(G66,'Master Budget'!$G$4:$G$360,'Master Budget'!$O$4:$O$360,0)</f>
        <v>16432.5</v>
      </c>
      <c r="N66" s="233">
        <f>_xlfn.XLOOKUP(G66,'Master Budget'!$G$4:$G$360,'Master Budget'!$P$4:$P$360,0)</f>
        <v>15045.265719999999</v>
      </c>
    </row>
    <row r="67" spans="1:14" x14ac:dyDescent="0.25">
      <c r="A67">
        <v>67</v>
      </c>
      <c r="B67" t="s">
        <v>102</v>
      </c>
      <c r="C67" s="234">
        <v>20</v>
      </c>
      <c r="D67">
        <v>100</v>
      </c>
      <c r="E67" t="s">
        <v>9</v>
      </c>
      <c r="F67" t="str">
        <f t="shared" si="3"/>
        <v>100 - Salaries and Benefits</v>
      </c>
      <c r="G67" t="s">
        <v>273</v>
      </c>
      <c r="H67" t="s">
        <v>112</v>
      </c>
      <c r="I67" s="155">
        <v>20454.900000000001</v>
      </c>
      <c r="J67" s="155">
        <v>10668.49</v>
      </c>
      <c r="K67" s="155">
        <f t="shared" si="2"/>
        <v>14224.653333333332</v>
      </c>
      <c r="L67" s="155">
        <v>0</v>
      </c>
      <c r="M67" s="233">
        <f>_xlfn.XLOOKUP(G67,'Master Budget'!$G$4:$G$360,'Master Budget'!$O$4:$O$360,0)</f>
        <v>0</v>
      </c>
      <c r="N67" s="233">
        <f>_xlfn.XLOOKUP(G67,'Master Budget'!$G$4:$G$360,'Master Budget'!$P$4:$P$360,0)</f>
        <v>0</v>
      </c>
    </row>
    <row r="68" spans="1:14" x14ac:dyDescent="0.25">
      <c r="A68">
        <v>68</v>
      </c>
      <c r="B68" t="s">
        <v>102</v>
      </c>
      <c r="C68" s="234">
        <v>20</v>
      </c>
      <c r="D68">
        <v>100</v>
      </c>
      <c r="E68" t="s">
        <v>9</v>
      </c>
      <c r="F68" t="str">
        <f t="shared" si="3"/>
        <v>100 - Salaries and Benefits</v>
      </c>
      <c r="G68" t="s">
        <v>274</v>
      </c>
      <c r="H68" t="s">
        <v>114</v>
      </c>
      <c r="I68" s="155">
        <v>50.11</v>
      </c>
      <c r="J68" s="155">
        <v>71.680000000000007</v>
      </c>
      <c r="K68" s="155">
        <f t="shared" si="2"/>
        <v>95.573333333333338</v>
      </c>
      <c r="L68" s="155">
        <v>38.400000000000006</v>
      </c>
      <c r="M68" s="233">
        <f>_xlfn.XLOOKUP(G68,'Master Budget'!$G$4:$G$360,'Master Budget'!$O$4:$O$360,0)</f>
        <v>100</v>
      </c>
      <c r="N68" s="233">
        <f>_xlfn.XLOOKUP(G68,'Master Budget'!$G$4:$G$360,'Master Budget'!$P$4:$P$360,0)</f>
        <v>38.400000000000006</v>
      </c>
    </row>
    <row r="69" spans="1:14" x14ac:dyDescent="0.25">
      <c r="A69">
        <v>69</v>
      </c>
      <c r="B69" t="s">
        <v>102</v>
      </c>
      <c r="C69" s="234">
        <v>20</v>
      </c>
      <c r="D69">
        <v>100</v>
      </c>
      <c r="E69" t="s">
        <v>9</v>
      </c>
      <c r="F69" t="str">
        <f t="shared" si="3"/>
        <v>100 - Salaries and Benefits</v>
      </c>
      <c r="G69" t="s">
        <v>275</v>
      </c>
      <c r="H69" t="s">
        <v>1183</v>
      </c>
      <c r="I69" s="155">
        <v>6326.44</v>
      </c>
      <c r="J69" s="155">
        <v>634.02</v>
      </c>
      <c r="K69" s="155">
        <f t="shared" si="2"/>
        <v>845.3599999999999</v>
      </c>
      <c r="L69" s="155">
        <v>5000</v>
      </c>
      <c r="M69" s="233">
        <f>_xlfn.XLOOKUP(G69,'Master Budget'!$G$4:$G$360,'Master Budget'!$O$4:$O$360,0)</f>
        <v>2000</v>
      </c>
      <c r="N69" s="233">
        <f>_xlfn.XLOOKUP(G69,'Master Budget'!$G$4:$G$360,'Master Budget'!$P$4:$P$360,0)</f>
        <v>5000</v>
      </c>
    </row>
    <row r="70" spans="1:14" x14ac:dyDescent="0.25">
      <c r="A70">
        <v>70</v>
      </c>
      <c r="B70" t="s">
        <v>102</v>
      </c>
      <c r="C70" s="234">
        <v>20</v>
      </c>
      <c r="D70">
        <v>100</v>
      </c>
      <c r="E70" t="s">
        <v>9</v>
      </c>
      <c r="F70" t="str">
        <f t="shared" si="3"/>
        <v>100 - Salaries and Benefits</v>
      </c>
      <c r="G70" t="s">
        <v>277</v>
      </c>
      <c r="H70" t="s">
        <v>1053</v>
      </c>
      <c r="I70" s="155">
        <v>6782.91</v>
      </c>
      <c r="J70" s="155">
        <v>1105.69</v>
      </c>
      <c r="K70" s="155">
        <f t="shared" si="2"/>
        <v>1474.2533333333336</v>
      </c>
      <c r="L70" s="155">
        <v>0</v>
      </c>
      <c r="M70" s="233">
        <f>_xlfn.XLOOKUP(G70,'Master Budget'!$G$4:$G$360,'Master Budget'!$O$4:$O$360,0)</f>
        <v>3500</v>
      </c>
      <c r="N70" s="233">
        <f>_xlfn.XLOOKUP(G70,'Master Budget'!$G$4:$G$360,'Master Budget'!$P$4:$P$360,0)</f>
        <v>3500</v>
      </c>
    </row>
    <row r="71" spans="1:14" x14ac:dyDescent="0.25">
      <c r="A71">
        <v>71</v>
      </c>
      <c r="B71" t="s">
        <v>102</v>
      </c>
      <c r="C71" s="234">
        <v>20</v>
      </c>
      <c r="D71">
        <v>200</v>
      </c>
      <c r="E71" t="s">
        <v>10</v>
      </c>
      <c r="F71" t="str">
        <f t="shared" si="3"/>
        <v>200 - General and Administrative</v>
      </c>
      <c r="G71" t="s">
        <v>279</v>
      </c>
      <c r="H71" t="s">
        <v>1054</v>
      </c>
      <c r="I71" s="155">
        <v>21264.880000000001</v>
      </c>
      <c r="J71" s="155">
        <v>12289.65</v>
      </c>
      <c r="K71" s="155">
        <f t="shared" si="2"/>
        <v>16386.2</v>
      </c>
      <c r="L71" s="155">
        <v>20000</v>
      </c>
      <c r="M71" s="233">
        <f>_xlfn.XLOOKUP(G71,'Master Budget'!$G$4:$G$360,'Master Budget'!$O$4:$O$360,0)</f>
        <v>20000</v>
      </c>
      <c r="N71" s="233">
        <f>_xlfn.XLOOKUP(G71,'Master Budget'!$G$4:$G$360,'Master Budget'!$P$4:$P$360,0)</f>
        <v>20000</v>
      </c>
    </row>
    <row r="72" spans="1:14" x14ac:dyDescent="0.25">
      <c r="A72">
        <v>72</v>
      </c>
      <c r="B72" t="s">
        <v>102</v>
      </c>
      <c r="C72" s="234">
        <v>20</v>
      </c>
      <c r="D72">
        <v>200</v>
      </c>
      <c r="E72" t="s">
        <v>10</v>
      </c>
      <c r="F72" t="str">
        <f t="shared" si="3"/>
        <v>200 - General and Administrative</v>
      </c>
      <c r="G72" t="s">
        <v>281</v>
      </c>
      <c r="H72" t="s">
        <v>381</v>
      </c>
      <c r="I72" s="155">
        <v>20954.54</v>
      </c>
      <c r="J72" s="155">
        <v>16269.74</v>
      </c>
      <c r="K72" s="155">
        <f t="shared" si="2"/>
        <v>21692.986666666664</v>
      </c>
      <c r="L72" s="155">
        <v>25000</v>
      </c>
      <c r="M72" s="233">
        <f>_xlfn.XLOOKUP(G72,'Master Budget'!$G$4:$G$360,'Master Budget'!$O$4:$O$360,0)</f>
        <v>25000</v>
      </c>
      <c r="N72" s="233">
        <f>_xlfn.XLOOKUP(G72,'Master Budget'!$G$4:$G$360,'Master Budget'!$P$4:$P$360,0)</f>
        <v>25000</v>
      </c>
    </row>
    <row r="73" spans="1:14" x14ac:dyDescent="0.25">
      <c r="A73">
        <v>73</v>
      </c>
      <c r="B73" t="s">
        <v>102</v>
      </c>
      <c r="C73" s="234">
        <v>20</v>
      </c>
      <c r="D73">
        <v>200</v>
      </c>
      <c r="E73" t="s">
        <v>10</v>
      </c>
      <c r="F73" t="str">
        <f t="shared" si="3"/>
        <v>200 - General and Administrative</v>
      </c>
      <c r="G73" t="s">
        <v>283</v>
      </c>
      <c r="H73" t="s">
        <v>1055</v>
      </c>
      <c r="I73" s="155">
        <v>31566.68</v>
      </c>
      <c r="J73" s="155">
        <v>37018.879999999997</v>
      </c>
      <c r="K73" s="155">
        <f t="shared" si="2"/>
        <v>49358.506666666661</v>
      </c>
      <c r="L73" s="155">
        <v>20000</v>
      </c>
      <c r="M73" s="233">
        <f>_xlfn.XLOOKUP(G73,'Master Budget'!$G$4:$G$360,'Master Budget'!$O$4:$O$360,0)</f>
        <v>45000</v>
      </c>
      <c r="N73" s="233">
        <f>_xlfn.XLOOKUP(G73,'Master Budget'!$G$4:$G$360,'Master Budget'!$P$4:$P$360,0)</f>
        <v>35000</v>
      </c>
    </row>
    <row r="74" spans="1:14" x14ac:dyDescent="0.25">
      <c r="A74">
        <v>74</v>
      </c>
      <c r="B74" t="s">
        <v>102</v>
      </c>
      <c r="C74" s="234">
        <v>20</v>
      </c>
      <c r="D74">
        <v>200</v>
      </c>
      <c r="E74" t="s">
        <v>10</v>
      </c>
      <c r="F74" t="str">
        <f t="shared" si="3"/>
        <v>200 - General and Administrative</v>
      </c>
      <c r="G74" t="s">
        <v>1056</v>
      </c>
      <c r="H74" t="s">
        <v>1057</v>
      </c>
      <c r="I74" s="155">
        <v>0</v>
      </c>
      <c r="J74" s="155">
        <v>0</v>
      </c>
      <c r="K74" s="155">
        <f t="shared" si="2"/>
        <v>0</v>
      </c>
      <c r="L74" s="155">
        <v>0</v>
      </c>
      <c r="M74" s="233">
        <f>_xlfn.XLOOKUP(G74,'Master Budget'!$G$4:$G$360,'Master Budget'!$O$4:$O$360,0)</f>
        <v>0</v>
      </c>
      <c r="N74" s="233">
        <f>_xlfn.XLOOKUP(G74,'Master Budget'!$G$4:$G$360,'Master Budget'!$P$4:$P$360,0)</f>
        <v>0</v>
      </c>
    </row>
    <row r="75" spans="1:14" x14ac:dyDescent="0.25">
      <c r="A75">
        <v>75</v>
      </c>
      <c r="B75" t="s">
        <v>102</v>
      </c>
      <c r="C75" s="234">
        <v>20</v>
      </c>
      <c r="D75">
        <v>200</v>
      </c>
      <c r="E75" t="s">
        <v>10</v>
      </c>
      <c r="F75" t="str">
        <f t="shared" si="3"/>
        <v>200 - General and Administrative</v>
      </c>
      <c r="G75" t="s">
        <v>284</v>
      </c>
      <c r="H75" t="s">
        <v>124</v>
      </c>
      <c r="I75" s="155">
        <v>14375.09</v>
      </c>
      <c r="J75" s="155">
        <v>7418.63</v>
      </c>
      <c r="K75" s="155">
        <f t="shared" si="2"/>
        <v>9891.5066666666662</v>
      </c>
      <c r="L75" s="155">
        <v>17000</v>
      </c>
      <c r="M75" s="233">
        <f>_xlfn.XLOOKUP(G75,'Master Budget'!$G$4:$G$360,'Master Budget'!$O$4:$O$360,0)</f>
        <v>17000</v>
      </c>
      <c r="N75" s="233">
        <f>_xlfn.XLOOKUP(G75,'Master Budget'!$G$4:$G$360,'Master Budget'!$P$4:$P$360,0)</f>
        <v>17000</v>
      </c>
    </row>
    <row r="76" spans="1:14" x14ac:dyDescent="0.25">
      <c r="A76">
        <v>76</v>
      </c>
      <c r="B76" t="s">
        <v>102</v>
      </c>
      <c r="C76" s="234">
        <v>20</v>
      </c>
      <c r="D76">
        <v>200</v>
      </c>
      <c r="E76" t="s">
        <v>10</v>
      </c>
      <c r="F76" t="str">
        <f t="shared" si="3"/>
        <v>200 - General and Administrative</v>
      </c>
      <c r="G76" t="s">
        <v>285</v>
      </c>
      <c r="H76" t="s">
        <v>126</v>
      </c>
      <c r="I76" s="155">
        <v>6671.59</v>
      </c>
      <c r="J76" s="155">
        <v>3026.64</v>
      </c>
      <c r="K76" s="155">
        <f t="shared" si="2"/>
        <v>4035.5199999999995</v>
      </c>
      <c r="L76" s="155">
        <v>8000</v>
      </c>
      <c r="M76" s="233">
        <f>_xlfn.XLOOKUP(G76,'Master Budget'!$G$4:$G$360,'Master Budget'!$O$4:$O$360,0)</f>
        <v>8000</v>
      </c>
      <c r="N76" s="233">
        <f>_xlfn.XLOOKUP(G76,'Master Budget'!$G$4:$G$360,'Master Budget'!$P$4:$P$360,0)</f>
        <v>8000</v>
      </c>
    </row>
    <row r="77" spans="1:14" x14ac:dyDescent="0.25">
      <c r="A77">
        <v>77</v>
      </c>
      <c r="B77" t="s">
        <v>102</v>
      </c>
      <c r="C77" s="234">
        <v>20</v>
      </c>
      <c r="D77">
        <v>200</v>
      </c>
      <c r="E77" t="s">
        <v>10</v>
      </c>
      <c r="F77" t="str">
        <f t="shared" si="3"/>
        <v>200 - General and Administrative</v>
      </c>
      <c r="G77" t="s">
        <v>286</v>
      </c>
      <c r="H77" t="s">
        <v>287</v>
      </c>
      <c r="I77" s="155">
        <v>6536.57</v>
      </c>
      <c r="J77" s="155">
        <v>2533.35</v>
      </c>
      <c r="K77" s="155">
        <f t="shared" si="2"/>
        <v>3377.8</v>
      </c>
      <c r="L77" s="155">
        <v>4500</v>
      </c>
      <c r="M77" s="233">
        <f>_xlfn.XLOOKUP(G77,'Master Budget'!$G$4:$G$360,'Master Budget'!$O$4:$O$360,0)</f>
        <v>4700</v>
      </c>
      <c r="N77" s="233">
        <f>_xlfn.XLOOKUP(G77,'Master Budget'!$G$4:$G$360,'Master Budget'!$P$4:$P$360,0)</f>
        <v>4700</v>
      </c>
    </row>
    <row r="78" spans="1:14" x14ac:dyDescent="0.25">
      <c r="A78">
        <v>78</v>
      </c>
      <c r="B78" t="s">
        <v>102</v>
      </c>
      <c r="C78" s="234">
        <v>20</v>
      </c>
      <c r="D78">
        <v>200</v>
      </c>
      <c r="E78" t="s">
        <v>10</v>
      </c>
      <c r="F78" t="str">
        <f t="shared" si="3"/>
        <v>200 - General and Administrative</v>
      </c>
      <c r="G78" t="s">
        <v>288</v>
      </c>
      <c r="H78" t="s">
        <v>130</v>
      </c>
      <c r="I78" s="155">
        <v>21417.5</v>
      </c>
      <c r="J78" s="155">
        <v>3157.5</v>
      </c>
      <c r="K78" s="155">
        <f t="shared" si="2"/>
        <v>4210</v>
      </c>
      <c r="L78" s="155">
        <v>35000</v>
      </c>
      <c r="M78" s="233">
        <f>_xlfn.XLOOKUP(G78,'Master Budget'!$G$4:$G$360,'Master Budget'!$O$4:$O$360,0)</f>
        <v>35000</v>
      </c>
      <c r="N78" s="233">
        <f>_xlfn.XLOOKUP(G78,'Master Budget'!$G$4:$G$360,'Master Budget'!$P$4:$P$360,0)</f>
        <v>35000</v>
      </c>
    </row>
    <row r="79" spans="1:14" x14ac:dyDescent="0.25">
      <c r="A79">
        <v>79</v>
      </c>
      <c r="B79" t="s">
        <v>102</v>
      </c>
      <c r="C79" s="234">
        <v>20</v>
      </c>
      <c r="D79">
        <v>200</v>
      </c>
      <c r="E79" t="s">
        <v>10</v>
      </c>
      <c r="F79" t="str">
        <f t="shared" si="3"/>
        <v>200 - General and Administrative</v>
      </c>
      <c r="G79" t="s">
        <v>289</v>
      </c>
      <c r="H79" t="s">
        <v>132</v>
      </c>
      <c r="I79" s="155">
        <v>9921.75</v>
      </c>
      <c r="J79" s="155">
        <v>4995.79</v>
      </c>
      <c r="K79" s="155">
        <f t="shared" si="2"/>
        <v>6661.0533333333333</v>
      </c>
      <c r="L79" s="155">
        <v>10000</v>
      </c>
      <c r="M79" s="233">
        <f>_xlfn.XLOOKUP(G79,'Master Budget'!$G$4:$G$360,'Master Budget'!$O$4:$O$360,0)</f>
        <v>10000</v>
      </c>
      <c r="N79" s="233">
        <f>_xlfn.XLOOKUP(G79,'Master Budget'!$G$4:$G$360,'Master Budget'!$P$4:$P$360,0)</f>
        <v>10000</v>
      </c>
    </row>
    <row r="80" spans="1:14" x14ac:dyDescent="0.25">
      <c r="A80">
        <v>80</v>
      </c>
      <c r="B80" t="s">
        <v>102</v>
      </c>
      <c r="C80" s="234">
        <v>20</v>
      </c>
      <c r="D80">
        <v>200</v>
      </c>
      <c r="E80" t="s">
        <v>10</v>
      </c>
      <c r="F80" t="str">
        <f t="shared" si="3"/>
        <v>200 - General and Administrative</v>
      </c>
      <c r="G80" t="s">
        <v>290</v>
      </c>
      <c r="H80" t="s">
        <v>291</v>
      </c>
      <c r="I80" s="155">
        <v>215.24</v>
      </c>
      <c r="J80" s="155">
        <v>0</v>
      </c>
      <c r="K80" s="155">
        <f t="shared" si="2"/>
        <v>0</v>
      </c>
      <c r="L80" s="155">
        <v>250</v>
      </c>
      <c r="M80" s="233">
        <f>_xlfn.XLOOKUP(G80,'Master Budget'!$G$4:$G$360,'Master Budget'!$O$4:$O$360,0)</f>
        <v>250</v>
      </c>
      <c r="N80" s="233">
        <f>_xlfn.XLOOKUP(G80,'Master Budget'!$G$4:$G$360,'Master Budget'!$P$4:$P$360,0)</f>
        <v>250</v>
      </c>
    </row>
    <row r="81" spans="1:14" x14ac:dyDescent="0.25">
      <c r="A81">
        <v>81</v>
      </c>
      <c r="B81" t="s">
        <v>102</v>
      </c>
      <c r="C81" s="234">
        <v>20</v>
      </c>
      <c r="D81">
        <v>200</v>
      </c>
      <c r="E81" t="s">
        <v>10</v>
      </c>
      <c r="F81" t="str">
        <f t="shared" si="3"/>
        <v>200 - General and Administrative</v>
      </c>
      <c r="G81" t="s">
        <v>292</v>
      </c>
      <c r="H81" t="s">
        <v>1058</v>
      </c>
      <c r="I81" s="155">
        <v>545.86</v>
      </c>
      <c r="J81" s="155">
        <v>495.74</v>
      </c>
      <c r="K81" s="155">
        <f t="shared" si="2"/>
        <v>660.98666666666668</v>
      </c>
      <c r="L81" s="155">
        <v>500</v>
      </c>
      <c r="M81" s="233">
        <f>_xlfn.XLOOKUP(G81,'Master Budget'!$G$4:$G$360,'Master Budget'!$O$4:$O$360,0)</f>
        <v>758.24</v>
      </c>
      <c r="N81" s="233">
        <f>_xlfn.XLOOKUP(G81,'Master Budget'!$G$4:$G$360,'Master Budget'!$P$4:$P$360,0)</f>
        <v>800</v>
      </c>
    </row>
    <row r="82" spans="1:14" x14ac:dyDescent="0.25">
      <c r="A82">
        <v>82</v>
      </c>
      <c r="B82" t="s">
        <v>102</v>
      </c>
      <c r="C82" s="234">
        <v>20</v>
      </c>
      <c r="D82">
        <v>200</v>
      </c>
      <c r="E82" t="s">
        <v>10</v>
      </c>
      <c r="F82" t="str">
        <f t="shared" si="3"/>
        <v>200 - General and Administrative</v>
      </c>
      <c r="G82" t="s">
        <v>294</v>
      </c>
      <c r="H82" t="s">
        <v>295</v>
      </c>
      <c r="I82" s="155">
        <v>0</v>
      </c>
      <c r="J82" s="155">
        <v>10000</v>
      </c>
      <c r="K82" s="155">
        <f t="shared" si="2"/>
        <v>13333.333333333332</v>
      </c>
      <c r="L82" s="155"/>
      <c r="M82" s="233">
        <f>_xlfn.XLOOKUP(G82,'Master Budget'!$G$4:$G$360,'Master Budget'!$O$4:$O$360,0)</f>
        <v>10000</v>
      </c>
      <c r="N82" s="233">
        <f>_xlfn.XLOOKUP(G82,'Master Budget'!$G$4:$G$360,'Master Budget'!$P$4:$P$360,0)</f>
        <v>0</v>
      </c>
    </row>
    <row r="83" spans="1:14" x14ac:dyDescent="0.25">
      <c r="A83">
        <v>83</v>
      </c>
      <c r="B83" t="s">
        <v>102</v>
      </c>
      <c r="C83" s="234">
        <v>20</v>
      </c>
      <c r="D83">
        <v>200</v>
      </c>
      <c r="E83" t="s">
        <v>10</v>
      </c>
      <c r="F83" t="str">
        <f t="shared" si="3"/>
        <v>200 - General and Administrative</v>
      </c>
      <c r="G83" t="s">
        <v>296</v>
      </c>
      <c r="H83" t="s">
        <v>297</v>
      </c>
      <c r="I83" s="155">
        <v>7705.41</v>
      </c>
      <c r="J83" s="155">
        <v>6219.05</v>
      </c>
      <c r="K83" s="155">
        <f t="shared" si="2"/>
        <v>8292.0666666666675</v>
      </c>
      <c r="L83" s="155">
        <v>8000</v>
      </c>
      <c r="M83" s="233">
        <f>_xlfn.XLOOKUP(G83,'Master Budget'!$G$4:$G$360,'Master Budget'!$O$4:$O$360,0)</f>
        <v>10798.38</v>
      </c>
      <c r="N83" s="233">
        <f>_xlfn.XLOOKUP(G83,'Master Budget'!$G$4:$G$360,'Master Budget'!$P$4:$P$360,0)</f>
        <v>11000</v>
      </c>
    </row>
    <row r="84" spans="1:14" x14ac:dyDescent="0.25">
      <c r="A84">
        <v>84</v>
      </c>
      <c r="B84" t="s">
        <v>102</v>
      </c>
      <c r="C84" s="234">
        <v>20</v>
      </c>
      <c r="D84">
        <v>200</v>
      </c>
      <c r="E84" t="s">
        <v>10</v>
      </c>
      <c r="F84" t="str">
        <f t="shared" si="3"/>
        <v>200 - General and Administrative</v>
      </c>
      <c r="G84" t="s">
        <v>298</v>
      </c>
      <c r="H84" t="s">
        <v>299</v>
      </c>
      <c r="I84" s="155">
        <v>0</v>
      </c>
      <c r="J84" s="155">
        <v>0</v>
      </c>
      <c r="K84" s="155">
        <f t="shared" si="2"/>
        <v>0</v>
      </c>
      <c r="L84" s="155">
        <v>0</v>
      </c>
      <c r="M84" s="233">
        <f>_xlfn.XLOOKUP(G84,'Master Budget'!$G$4:$G$360,'Master Budget'!$O$4:$O$360,0)</f>
        <v>0</v>
      </c>
      <c r="N84" s="233">
        <f>_xlfn.XLOOKUP(G84,'Master Budget'!$G$4:$G$360,'Master Budget'!$P$4:$P$360,0)</f>
        <v>0</v>
      </c>
    </row>
    <row r="85" spans="1:14" x14ac:dyDescent="0.25">
      <c r="A85">
        <v>85</v>
      </c>
      <c r="B85" t="s">
        <v>102</v>
      </c>
      <c r="C85" s="234">
        <v>20</v>
      </c>
      <c r="D85">
        <v>200</v>
      </c>
      <c r="E85" t="s">
        <v>10</v>
      </c>
      <c r="F85" t="str">
        <f t="shared" si="3"/>
        <v>200 - General and Administrative</v>
      </c>
      <c r="G85" t="s">
        <v>300</v>
      </c>
      <c r="H85" t="s">
        <v>301</v>
      </c>
      <c r="I85" s="155">
        <v>2951.53</v>
      </c>
      <c r="J85" s="155">
        <v>1447.2</v>
      </c>
      <c r="K85" s="155">
        <f t="shared" si="2"/>
        <v>1929.6000000000001</v>
      </c>
      <c r="L85" s="155">
        <v>4500</v>
      </c>
      <c r="M85" s="233">
        <f>_xlfn.XLOOKUP(G85,'Master Budget'!$G$4:$G$360,'Master Budget'!$O$4:$O$360,0)</f>
        <v>2894.4</v>
      </c>
      <c r="N85" s="233">
        <f>_xlfn.XLOOKUP(G85,'Master Budget'!$G$4:$G$360,'Master Budget'!$P$4:$P$360,0)</f>
        <v>3000</v>
      </c>
    </row>
    <row r="86" spans="1:14" x14ac:dyDescent="0.25">
      <c r="A86">
        <v>86</v>
      </c>
      <c r="B86" t="s">
        <v>102</v>
      </c>
      <c r="C86" s="234">
        <v>20</v>
      </c>
      <c r="D86">
        <v>200</v>
      </c>
      <c r="E86" t="s">
        <v>10</v>
      </c>
      <c r="F86" t="str">
        <f t="shared" si="3"/>
        <v>200 - General and Administrative</v>
      </c>
      <c r="G86" t="s">
        <v>302</v>
      </c>
      <c r="H86" t="s">
        <v>303</v>
      </c>
      <c r="I86" s="155">
        <v>19165.37</v>
      </c>
      <c r="J86" s="155">
        <v>22535.47</v>
      </c>
      <c r="K86" s="155">
        <f t="shared" si="2"/>
        <v>30047.293333333335</v>
      </c>
      <c r="L86" s="155">
        <v>20000</v>
      </c>
      <c r="M86" s="233">
        <f>_xlfn.XLOOKUP(G86,'Master Budget'!$G$4:$G$360,'Master Budget'!$O$4:$O$360,0)</f>
        <v>25000</v>
      </c>
      <c r="N86" s="233">
        <f>_xlfn.XLOOKUP(G86,'Master Budget'!$G$4:$G$360,'Master Budget'!$P$4:$P$360,0)</f>
        <v>25000</v>
      </c>
    </row>
    <row r="87" spans="1:14" x14ac:dyDescent="0.25">
      <c r="A87">
        <v>87</v>
      </c>
      <c r="B87" t="s">
        <v>102</v>
      </c>
      <c r="C87" s="234">
        <v>20</v>
      </c>
      <c r="D87">
        <v>200</v>
      </c>
      <c r="E87" t="s">
        <v>10</v>
      </c>
      <c r="F87" t="str">
        <f t="shared" si="3"/>
        <v>200 - General and Administrative</v>
      </c>
      <c r="G87" t="s">
        <v>304</v>
      </c>
      <c r="H87" t="s">
        <v>305</v>
      </c>
      <c r="I87" s="155">
        <v>0</v>
      </c>
      <c r="J87" s="155">
        <v>0</v>
      </c>
      <c r="K87" s="155">
        <f t="shared" si="2"/>
        <v>0</v>
      </c>
      <c r="L87" s="155">
        <v>0</v>
      </c>
      <c r="M87" s="233">
        <f>_xlfn.XLOOKUP(G87,'Master Budget'!$G$4:$G$360,'Master Budget'!$O$4:$O$360,0)</f>
        <v>0</v>
      </c>
      <c r="N87" s="233">
        <f>_xlfn.XLOOKUP(G87,'Master Budget'!$G$4:$G$360,'Master Budget'!$P$4:$P$360,0)</f>
        <v>0</v>
      </c>
    </row>
    <row r="88" spans="1:14" x14ac:dyDescent="0.25">
      <c r="A88">
        <v>88</v>
      </c>
      <c r="B88" t="s">
        <v>102</v>
      </c>
      <c r="C88" s="234">
        <v>20</v>
      </c>
      <c r="D88">
        <v>500</v>
      </c>
      <c r="E88" t="s">
        <v>11</v>
      </c>
      <c r="F88" t="str">
        <f t="shared" si="3"/>
        <v>500 - Repairs and Maintenance</v>
      </c>
      <c r="G88" t="s">
        <v>306</v>
      </c>
      <c r="H88" t="s">
        <v>432</v>
      </c>
      <c r="I88" s="155">
        <v>2727</v>
      </c>
      <c r="J88" s="155">
        <v>620</v>
      </c>
      <c r="K88" s="155">
        <f t="shared" si="2"/>
        <v>826.66666666666663</v>
      </c>
      <c r="L88" s="155">
        <v>5500</v>
      </c>
      <c r="M88" s="233">
        <f>_xlfn.XLOOKUP(G88,'Master Budget'!$G$4:$G$360,'Master Budget'!$O$4:$O$360,0)</f>
        <v>5500</v>
      </c>
      <c r="N88" s="233">
        <f>_xlfn.XLOOKUP(G88,'Master Budget'!$G$4:$G$360,'Master Budget'!$P$4:$P$360,0)</f>
        <v>5500</v>
      </c>
    </row>
    <row r="89" spans="1:14" x14ac:dyDescent="0.25">
      <c r="A89">
        <v>89</v>
      </c>
      <c r="B89" t="s">
        <v>102</v>
      </c>
      <c r="C89" s="234">
        <v>20</v>
      </c>
      <c r="D89">
        <v>200</v>
      </c>
      <c r="E89" t="s">
        <v>10</v>
      </c>
      <c r="F89" t="str">
        <f t="shared" si="3"/>
        <v>200 - General and Administrative</v>
      </c>
      <c r="G89" t="s">
        <v>1059</v>
      </c>
      <c r="H89" t="s">
        <v>386</v>
      </c>
      <c r="I89" s="155">
        <v>0</v>
      </c>
      <c r="J89" s="155">
        <v>0</v>
      </c>
      <c r="K89" s="155">
        <f t="shared" si="2"/>
        <v>0</v>
      </c>
      <c r="L89" s="155">
        <v>0</v>
      </c>
      <c r="M89" s="233">
        <f>_xlfn.XLOOKUP(G89,'Master Budget'!$G$4:$G$360,'Master Budget'!$O$4:$O$360,0)</f>
        <v>0</v>
      </c>
      <c r="N89" s="233">
        <f>_xlfn.XLOOKUP(G89,'Master Budget'!$G$4:$G$360,'Master Budget'!$P$4:$P$360,0)</f>
        <v>0</v>
      </c>
    </row>
    <row r="90" spans="1:14" x14ac:dyDescent="0.25">
      <c r="A90">
        <v>90</v>
      </c>
      <c r="B90" t="s">
        <v>102</v>
      </c>
      <c r="C90" s="234">
        <v>20</v>
      </c>
      <c r="D90">
        <v>500</v>
      </c>
      <c r="E90" t="s">
        <v>11</v>
      </c>
      <c r="F90" t="str">
        <f t="shared" si="3"/>
        <v>500 - Repairs and Maintenance</v>
      </c>
      <c r="G90" t="s">
        <v>308</v>
      </c>
      <c r="H90" t="s">
        <v>388</v>
      </c>
      <c r="I90" s="155">
        <v>22279.439999999999</v>
      </c>
      <c r="J90" s="155">
        <v>9310.7099999999991</v>
      </c>
      <c r="K90" s="155">
        <f t="shared" si="2"/>
        <v>12414.279999999999</v>
      </c>
      <c r="L90" s="155">
        <v>25000</v>
      </c>
      <c r="M90" s="233">
        <f>_xlfn.XLOOKUP(G90,'Master Budget'!$G$4:$G$360,'Master Budget'!$O$4:$O$360,0)</f>
        <v>25000</v>
      </c>
      <c r="N90" s="233">
        <f>_xlfn.XLOOKUP(G90,'Master Budget'!$G$4:$G$360,'Master Budget'!$P$4:$P$360,0)</f>
        <v>20000</v>
      </c>
    </row>
    <row r="91" spans="1:14" x14ac:dyDescent="0.25">
      <c r="A91">
        <v>91</v>
      </c>
      <c r="B91" t="s">
        <v>102</v>
      </c>
      <c r="C91" s="234">
        <v>20</v>
      </c>
      <c r="D91">
        <v>500</v>
      </c>
      <c r="E91" t="s">
        <v>11</v>
      </c>
      <c r="F91" t="str">
        <f t="shared" si="3"/>
        <v>500 - Repairs and Maintenance</v>
      </c>
      <c r="G91" t="s">
        <v>310</v>
      </c>
      <c r="H91" t="s">
        <v>311</v>
      </c>
      <c r="I91" s="155">
        <v>6283.98</v>
      </c>
      <c r="J91" s="155">
        <v>4848.12</v>
      </c>
      <c r="K91" s="155">
        <f t="shared" si="2"/>
        <v>6464.16</v>
      </c>
      <c r="L91" s="155">
        <v>8000</v>
      </c>
      <c r="M91" s="233">
        <f>_xlfn.XLOOKUP(G91,'Master Budget'!$G$4:$G$360,'Master Budget'!$O$4:$O$360,0)</f>
        <v>8000</v>
      </c>
      <c r="N91" s="233">
        <f>_xlfn.XLOOKUP(G91,'Master Budget'!$G$4:$G$360,'Master Budget'!$P$4:$P$360,0)</f>
        <v>8500</v>
      </c>
    </row>
    <row r="92" spans="1:14" x14ac:dyDescent="0.25">
      <c r="A92">
        <v>92</v>
      </c>
      <c r="B92" t="s">
        <v>102</v>
      </c>
      <c r="C92" s="234">
        <v>20</v>
      </c>
      <c r="D92">
        <v>500</v>
      </c>
      <c r="E92" t="s">
        <v>11</v>
      </c>
      <c r="F92" t="str">
        <f t="shared" si="3"/>
        <v>500 - Repairs and Maintenance</v>
      </c>
      <c r="G92" t="s">
        <v>312</v>
      </c>
      <c r="H92" t="s">
        <v>313</v>
      </c>
      <c r="I92" s="155">
        <v>8853.6200000000008</v>
      </c>
      <c r="J92" s="155">
        <v>6718.13</v>
      </c>
      <c r="K92" s="155">
        <f t="shared" si="2"/>
        <v>8957.5066666666662</v>
      </c>
      <c r="L92" s="155">
        <v>20000</v>
      </c>
      <c r="M92" s="233">
        <f>_xlfn.XLOOKUP(G92,'Master Budget'!$G$4:$G$360,'Master Budget'!$O$4:$O$360,0)</f>
        <v>12570</v>
      </c>
      <c r="N92" s="233">
        <f>_xlfn.XLOOKUP(G92,'Master Budget'!$G$4:$G$360,'Master Budget'!$P$4:$P$360,0)</f>
        <v>15000</v>
      </c>
    </row>
    <row r="93" spans="1:14" x14ac:dyDescent="0.25">
      <c r="A93">
        <v>93</v>
      </c>
      <c r="B93" t="s">
        <v>102</v>
      </c>
      <c r="C93" s="234">
        <v>20</v>
      </c>
      <c r="D93">
        <v>500</v>
      </c>
      <c r="E93" t="s">
        <v>11</v>
      </c>
      <c r="F93" t="str">
        <f t="shared" si="3"/>
        <v>500 - Repairs and Maintenance</v>
      </c>
      <c r="G93" t="s">
        <v>1060</v>
      </c>
      <c r="H93" t="s">
        <v>144</v>
      </c>
      <c r="I93" s="155">
        <v>0</v>
      </c>
      <c r="J93" s="155">
        <v>0</v>
      </c>
      <c r="K93" s="155">
        <f t="shared" si="2"/>
        <v>0</v>
      </c>
      <c r="L93" s="155">
        <v>0</v>
      </c>
      <c r="M93" s="233">
        <f>_xlfn.XLOOKUP(G93,'Master Budget'!$G$4:$G$360,'Master Budget'!$O$4:$O$360,0)</f>
        <v>0</v>
      </c>
      <c r="N93" s="233">
        <f>_xlfn.XLOOKUP(G93,'Master Budget'!$G$4:$G$360,'Master Budget'!$P$4:$P$360,0)</f>
        <v>0</v>
      </c>
    </row>
    <row r="94" spans="1:14" x14ac:dyDescent="0.25">
      <c r="A94">
        <v>94</v>
      </c>
      <c r="B94" t="s">
        <v>102</v>
      </c>
      <c r="C94" s="234">
        <v>20</v>
      </c>
      <c r="D94">
        <v>600</v>
      </c>
      <c r="E94" t="s">
        <v>13</v>
      </c>
      <c r="F94" t="str">
        <f t="shared" si="3"/>
        <v>600 - Bad Debt</v>
      </c>
      <c r="G94" t="s">
        <v>314</v>
      </c>
      <c r="H94" t="s">
        <v>315</v>
      </c>
      <c r="I94" s="155">
        <v>0</v>
      </c>
      <c r="J94" s="155">
        <v>0</v>
      </c>
      <c r="K94" s="155">
        <f t="shared" si="2"/>
        <v>0</v>
      </c>
      <c r="L94" s="155">
        <v>0</v>
      </c>
      <c r="M94" s="233">
        <f>_xlfn.XLOOKUP(G94,'Master Budget'!$G$4:$G$360,'Master Budget'!$O$4:$O$360,0)</f>
        <v>0</v>
      </c>
      <c r="N94" s="233">
        <f>_xlfn.XLOOKUP(G94,'Master Budget'!$G$4:$G$360,'Master Budget'!$P$4:$P$360,0)</f>
        <v>0</v>
      </c>
    </row>
    <row r="95" spans="1:14" x14ac:dyDescent="0.25">
      <c r="A95">
        <v>95</v>
      </c>
      <c r="B95" t="s">
        <v>102</v>
      </c>
      <c r="C95" s="234">
        <v>20</v>
      </c>
      <c r="D95">
        <v>200</v>
      </c>
      <c r="E95" t="s">
        <v>10</v>
      </c>
      <c r="F95" t="str">
        <f t="shared" si="3"/>
        <v>200 - General and Administrative</v>
      </c>
      <c r="G95" t="s">
        <v>316</v>
      </c>
      <c r="H95" t="s">
        <v>317</v>
      </c>
      <c r="I95" s="155">
        <v>0</v>
      </c>
      <c r="J95" s="155">
        <v>0</v>
      </c>
      <c r="K95" s="155">
        <f t="shared" si="2"/>
        <v>0</v>
      </c>
      <c r="L95" s="155">
        <v>26070.91</v>
      </c>
      <c r="M95" s="233">
        <f>_xlfn.XLOOKUP(G95,'Master Budget'!$G$4:$G$360,'Master Budget'!$O$4:$O$360,0)</f>
        <v>24470.49</v>
      </c>
      <c r="N95" s="233">
        <f>_xlfn.XLOOKUP(G95,'Master Budget'!$G$4:$G$360,'Master Budget'!$P$4:$P$360,0)</f>
        <v>24470.49</v>
      </c>
    </row>
    <row r="96" spans="1:14" x14ac:dyDescent="0.25">
      <c r="A96">
        <v>96</v>
      </c>
      <c r="B96" t="s">
        <v>102</v>
      </c>
      <c r="C96" s="234">
        <v>20</v>
      </c>
      <c r="D96">
        <v>200</v>
      </c>
      <c r="E96" t="s">
        <v>10</v>
      </c>
      <c r="F96" t="str">
        <f t="shared" si="3"/>
        <v>200 - General and Administrative</v>
      </c>
      <c r="G96" t="s">
        <v>318</v>
      </c>
      <c r="H96" t="s">
        <v>319</v>
      </c>
      <c r="I96" s="155">
        <v>0</v>
      </c>
      <c r="J96" s="155">
        <v>0</v>
      </c>
      <c r="K96" s="155">
        <f t="shared" si="2"/>
        <v>0</v>
      </c>
      <c r="L96" s="155">
        <v>0</v>
      </c>
      <c r="M96" s="233">
        <f>_xlfn.XLOOKUP(G96,'Master Budget'!$G$4:$G$360,'Master Budget'!$O$4:$O$360,0)</f>
        <v>0</v>
      </c>
      <c r="N96" s="233">
        <f>_xlfn.XLOOKUP(G96,'Master Budget'!$G$4:$G$360,'Master Budget'!$P$4:$P$360,0)</f>
        <v>0</v>
      </c>
    </row>
    <row r="97" spans="1:14" x14ac:dyDescent="0.25">
      <c r="A97">
        <v>97</v>
      </c>
      <c r="B97" t="s">
        <v>102</v>
      </c>
      <c r="C97" s="234">
        <v>20</v>
      </c>
      <c r="D97">
        <v>200</v>
      </c>
      <c r="E97" t="s">
        <v>10</v>
      </c>
      <c r="F97" t="str">
        <f t="shared" si="3"/>
        <v>200 - General and Administrative</v>
      </c>
      <c r="G97" t="s">
        <v>320</v>
      </c>
      <c r="H97" t="s">
        <v>244</v>
      </c>
      <c r="I97" s="155">
        <v>0</v>
      </c>
      <c r="J97" s="155">
        <v>0</v>
      </c>
      <c r="K97" s="155">
        <f t="shared" si="2"/>
        <v>0</v>
      </c>
      <c r="L97" s="155">
        <v>0</v>
      </c>
      <c r="M97" s="233">
        <f>_xlfn.XLOOKUP(G97,'Master Budget'!$G$4:$G$360,'Master Budget'!$O$4:$O$360,0)</f>
        <v>0</v>
      </c>
      <c r="N97" s="233">
        <f>_xlfn.XLOOKUP(G97,'Master Budget'!$G$4:$G$360,'Master Budget'!$P$4:$P$360,0)</f>
        <v>0</v>
      </c>
    </row>
    <row r="98" spans="1:14" x14ac:dyDescent="0.25">
      <c r="A98">
        <v>98</v>
      </c>
      <c r="B98" t="s">
        <v>102</v>
      </c>
      <c r="C98" s="234">
        <v>20</v>
      </c>
      <c r="D98">
        <v>200</v>
      </c>
      <c r="E98" t="s">
        <v>10</v>
      </c>
      <c r="F98" t="str">
        <f t="shared" si="3"/>
        <v>200 - General and Administrative</v>
      </c>
      <c r="G98" t="s">
        <v>321</v>
      </c>
      <c r="H98" t="s">
        <v>322</v>
      </c>
      <c r="I98" s="155">
        <v>0</v>
      </c>
      <c r="J98" s="155">
        <v>0</v>
      </c>
      <c r="K98" s="155">
        <f t="shared" si="2"/>
        <v>0</v>
      </c>
      <c r="L98" s="155">
        <v>0</v>
      </c>
      <c r="M98" s="233">
        <f>_xlfn.XLOOKUP(G98,'Master Budget'!$G$4:$G$360,'Master Budget'!$O$4:$O$360,0)</f>
        <v>0</v>
      </c>
      <c r="N98" s="233">
        <f>_xlfn.XLOOKUP(G98,'Master Budget'!$G$4:$G$360,'Master Budget'!$P$4:$P$360,0)</f>
        <v>0</v>
      </c>
    </row>
    <row r="99" spans="1:14" x14ac:dyDescent="0.25">
      <c r="A99">
        <v>99</v>
      </c>
      <c r="B99" t="s">
        <v>102</v>
      </c>
      <c r="C99" s="234">
        <v>20</v>
      </c>
      <c r="D99">
        <v>970</v>
      </c>
      <c r="E99" t="s">
        <v>884</v>
      </c>
      <c r="F99" t="str">
        <f t="shared" si="3"/>
        <v>970 - Debt Principle Payments</v>
      </c>
      <c r="G99" t="s">
        <v>323</v>
      </c>
      <c r="H99" t="s">
        <v>240</v>
      </c>
      <c r="I99" s="155">
        <v>0</v>
      </c>
      <c r="J99" s="155">
        <v>0</v>
      </c>
      <c r="K99" s="155">
        <f t="shared" si="2"/>
        <v>0</v>
      </c>
      <c r="L99" s="155">
        <v>0</v>
      </c>
      <c r="M99" s="233">
        <f>_xlfn.XLOOKUP(G99,'Master Budget'!$G$4:$G$360,'Master Budget'!$O$4:$O$360,0)</f>
        <v>20552</v>
      </c>
      <c r="N99" s="233">
        <f>_xlfn.XLOOKUP(G99,'Master Budget'!$G$4:$G$360,'Master Budget'!$P$4:$P$360,0)</f>
        <v>21531.4</v>
      </c>
    </row>
    <row r="100" spans="1:14" x14ac:dyDescent="0.25">
      <c r="A100">
        <v>100</v>
      </c>
      <c r="B100" t="s">
        <v>102</v>
      </c>
      <c r="C100" s="234">
        <v>20</v>
      </c>
      <c r="D100">
        <v>620</v>
      </c>
      <c r="E100" t="s">
        <v>23</v>
      </c>
      <c r="F100" t="str">
        <f t="shared" si="3"/>
        <v>620 - Interest Expense</v>
      </c>
      <c r="G100" t="s">
        <v>324</v>
      </c>
      <c r="H100" t="s">
        <v>23</v>
      </c>
      <c r="I100" s="155">
        <v>3504.2</v>
      </c>
      <c r="J100" s="155">
        <v>0</v>
      </c>
      <c r="K100" s="155">
        <f t="shared" si="2"/>
        <v>0</v>
      </c>
      <c r="L100" s="155">
        <v>9000</v>
      </c>
      <c r="M100" s="233">
        <f>_xlfn.XLOOKUP(G100,'Master Budget'!$G$4:$G$360,'Master Budget'!$O$4:$O$360,0)</f>
        <v>3918.4900000000002</v>
      </c>
      <c r="N100" s="233">
        <f>_xlfn.XLOOKUP(G100,'Master Budget'!$G$4:$G$360,'Master Budget'!$P$4:$P$360,0)</f>
        <v>2939.1</v>
      </c>
    </row>
    <row r="101" spans="1:14" x14ac:dyDescent="0.25">
      <c r="A101">
        <v>101</v>
      </c>
      <c r="B101" t="s">
        <v>102</v>
      </c>
      <c r="C101" s="234">
        <v>20</v>
      </c>
      <c r="D101">
        <v>200</v>
      </c>
      <c r="E101" t="s">
        <v>10</v>
      </c>
      <c r="F101" t="str">
        <f t="shared" si="3"/>
        <v>200 - General and Administrative</v>
      </c>
      <c r="G101" t="s">
        <v>326</v>
      </c>
      <c r="H101" t="s">
        <v>1061</v>
      </c>
      <c r="I101" s="155">
        <v>13636.88</v>
      </c>
      <c r="J101" s="155">
        <v>6189.78</v>
      </c>
      <c r="K101" s="155">
        <f t="shared" si="2"/>
        <v>8253.0400000000009</v>
      </c>
      <c r="L101" s="155">
        <v>11500</v>
      </c>
      <c r="M101" s="233">
        <f>_xlfn.XLOOKUP(G101,'Master Budget'!$G$4:$G$360,'Master Budget'!$O$4:$O$360,0)</f>
        <v>11500</v>
      </c>
      <c r="N101" s="233">
        <f>_xlfn.XLOOKUP(G101,'Master Budget'!$G$4:$G$360,'Master Budget'!$P$4:$P$360,0)</f>
        <v>11500</v>
      </c>
    </row>
    <row r="102" spans="1:14" x14ac:dyDescent="0.25">
      <c r="A102">
        <v>102</v>
      </c>
      <c r="B102" t="s">
        <v>102</v>
      </c>
      <c r="C102" s="234">
        <v>20</v>
      </c>
      <c r="D102">
        <v>200</v>
      </c>
      <c r="E102" t="s">
        <v>10</v>
      </c>
      <c r="F102" t="str">
        <f t="shared" si="3"/>
        <v>200 - General and Administrative</v>
      </c>
      <c r="G102" t="s">
        <v>328</v>
      </c>
      <c r="H102" t="s">
        <v>329</v>
      </c>
      <c r="I102" s="155">
        <v>3969.84</v>
      </c>
      <c r="J102" s="155">
        <v>159.57</v>
      </c>
      <c r="K102" s="155">
        <f t="shared" si="2"/>
        <v>212.76</v>
      </c>
      <c r="L102" s="155">
        <v>4500</v>
      </c>
      <c r="M102" s="233">
        <f>_xlfn.XLOOKUP(G102,'Master Budget'!$G$4:$G$360,'Master Budget'!$O$4:$O$360,0)</f>
        <v>4500</v>
      </c>
      <c r="N102" s="233">
        <f>_xlfn.XLOOKUP(G102,'Master Budget'!$G$4:$G$360,'Master Budget'!$P$4:$P$360,0)</f>
        <v>4500</v>
      </c>
    </row>
    <row r="103" spans="1:14" x14ac:dyDescent="0.25">
      <c r="A103">
        <v>103</v>
      </c>
      <c r="B103" t="s">
        <v>102</v>
      </c>
      <c r="C103" s="234">
        <v>20</v>
      </c>
      <c r="D103">
        <v>200</v>
      </c>
      <c r="E103" t="s">
        <v>10</v>
      </c>
      <c r="F103" t="str">
        <f t="shared" si="3"/>
        <v>200 - General and Administrative</v>
      </c>
      <c r="G103" t="s">
        <v>1062</v>
      </c>
      <c r="H103" t="s">
        <v>1063</v>
      </c>
      <c r="I103" s="155">
        <v>0</v>
      </c>
      <c r="J103" s="155">
        <v>0</v>
      </c>
      <c r="K103" s="155">
        <f t="shared" si="2"/>
        <v>0</v>
      </c>
      <c r="L103" s="155">
        <v>0</v>
      </c>
      <c r="M103" s="233">
        <f>_xlfn.XLOOKUP(G103,'Master Budget'!$G$4:$G$360,'Master Budget'!$O$4:$O$360,0)</f>
        <v>0</v>
      </c>
      <c r="N103" s="233">
        <f>_xlfn.XLOOKUP(G103,'Master Budget'!$G$4:$G$360,'Master Budget'!$P$4:$P$360,0)</f>
        <v>0</v>
      </c>
    </row>
    <row r="104" spans="1:14" x14ac:dyDescent="0.25">
      <c r="A104">
        <v>104</v>
      </c>
      <c r="B104" t="s">
        <v>102</v>
      </c>
      <c r="C104" s="234">
        <v>20</v>
      </c>
      <c r="D104">
        <v>200</v>
      </c>
      <c r="E104" t="s">
        <v>10</v>
      </c>
      <c r="F104" t="str">
        <f t="shared" si="3"/>
        <v>200 - General and Administrative</v>
      </c>
      <c r="G104" t="s">
        <v>1064</v>
      </c>
      <c r="H104" t="s">
        <v>158</v>
      </c>
      <c r="I104" s="155">
        <v>0</v>
      </c>
      <c r="J104" s="155">
        <v>0</v>
      </c>
      <c r="K104" s="155">
        <f t="shared" si="2"/>
        <v>0</v>
      </c>
      <c r="L104" s="155">
        <v>0</v>
      </c>
      <c r="M104" s="233">
        <f>_xlfn.XLOOKUP(G104,'Master Budget'!$G$4:$G$360,'Master Budget'!$O$4:$O$360,0)</f>
        <v>0</v>
      </c>
      <c r="N104" s="233">
        <f>_xlfn.XLOOKUP(G104,'Master Budget'!$G$4:$G$360,'Master Budget'!$P$4:$P$360,0)</f>
        <v>0</v>
      </c>
    </row>
    <row r="105" spans="1:14" x14ac:dyDescent="0.25">
      <c r="A105">
        <v>105</v>
      </c>
      <c r="B105" t="s">
        <v>102</v>
      </c>
      <c r="C105" s="234">
        <v>20</v>
      </c>
      <c r="D105">
        <v>200</v>
      </c>
      <c r="E105" t="s">
        <v>10</v>
      </c>
      <c r="F105" t="str">
        <f t="shared" si="3"/>
        <v>200 - General and Administrative</v>
      </c>
      <c r="G105" t="s">
        <v>330</v>
      </c>
      <c r="H105" t="s">
        <v>331</v>
      </c>
      <c r="I105" s="155">
        <v>10706.55</v>
      </c>
      <c r="J105" s="155">
        <v>6870.67</v>
      </c>
      <c r="K105" s="155">
        <f t="shared" si="2"/>
        <v>9160.8933333333334</v>
      </c>
      <c r="L105" s="155">
        <v>11000</v>
      </c>
      <c r="M105" s="233">
        <f>_xlfn.XLOOKUP(G105,'Master Budget'!$G$4:$G$360,'Master Budget'!$O$4:$O$360,0)</f>
        <v>11000</v>
      </c>
      <c r="N105" s="233">
        <f>_xlfn.XLOOKUP(G105,'Master Budget'!$G$4:$G$360,'Master Budget'!$P$4:$P$360,0)</f>
        <v>11000</v>
      </c>
    </row>
    <row r="106" spans="1:14" x14ac:dyDescent="0.25">
      <c r="A106">
        <v>106</v>
      </c>
      <c r="B106" t="s">
        <v>102</v>
      </c>
      <c r="C106" s="234">
        <v>20</v>
      </c>
      <c r="D106">
        <v>200</v>
      </c>
      <c r="E106" t="s">
        <v>10</v>
      </c>
      <c r="F106" t="str">
        <f t="shared" si="3"/>
        <v>200 - General and Administrative</v>
      </c>
      <c r="G106" t="s">
        <v>332</v>
      </c>
      <c r="H106" t="s">
        <v>333</v>
      </c>
      <c r="I106" s="155">
        <v>0</v>
      </c>
      <c r="J106" s="155">
        <v>0</v>
      </c>
      <c r="K106" s="155">
        <f t="shared" si="2"/>
        <v>0</v>
      </c>
      <c r="L106" s="155">
        <v>2000</v>
      </c>
      <c r="M106" s="233">
        <f>_xlfn.XLOOKUP(G106,'Master Budget'!$G$4:$G$360,'Master Budget'!$O$4:$O$360,0)</f>
        <v>2000</v>
      </c>
      <c r="N106" s="233">
        <f>_xlfn.XLOOKUP(G106,'Master Budget'!$G$4:$G$360,'Master Budget'!$P$4:$P$360,0)</f>
        <v>2000</v>
      </c>
    </row>
    <row r="107" spans="1:14" x14ac:dyDescent="0.25">
      <c r="A107">
        <v>107</v>
      </c>
      <c r="B107" t="s">
        <v>102</v>
      </c>
      <c r="C107" s="234">
        <v>20</v>
      </c>
      <c r="D107">
        <v>200</v>
      </c>
      <c r="E107" t="s">
        <v>10</v>
      </c>
      <c r="F107" t="str">
        <f t="shared" si="3"/>
        <v>200 - General and Administrative</v>
      </c>
      <c r="G107" t="s">
        <v>334</v>
      </c>
      <c r="H107" t="s">
        <v>335</v>
      </c>
      <c r="I107" s="155">
        <v>896.6</v>
      </c>
      <c r="J107" s="155">
        <v>674.79</v>
      </c>
      <c r="K107" s="155">
        <f t="shared" si="2"/>
        <v>899.71999999999991</v>
      </c>
      <c r="L107" s="155">
        <v>2000</v>
      </c>
      <c r="M107" s="233">
        <f>_xlfn.XLOOKUP(G107,'Master Budget'!$G$4:$G$360,'Master Budget'!$O$4:$O$360,0)</f>
        <v>2000</v>
      </c>
      <c r="N107" s="233">
        <f>_xlfn.XLOOKUP(G107,'Master Budget'!$G$4:$G$360,'Master Budget'!$P$4:$P$360,0)</f>
        <v>2000</v>
      </c>
    </row>
    <row r="108" spans="1:14" x14ac:dyDescent="0.25">
      <c r="A108">
        <v>108</v>
      </c>
      <c r="B108" t="s">
        <v>102</v>
      </c>
      <c r="C108" s="234">
        <v>20</v>
      </c>
      <c r="D108">
        <v>200</v>
      </c>
      <c r="E108" t="s">
        <v>10</v>
      </c>
      <c r="F108" t="str">
        <f t="shared" si="3"/>
        <v>200 - General and Administrative</v>
      </c>
      <c r="G108" t="s">
        <v>336</v>
      </c>
      <c r="H108" t="s">
        <v>337</v>
      </c>
      <c r="I108" s="155">
        <v>1090.6099999999999</v>
      </c>
      <c r="J108" s="155">
        <v>3361.38</v>
      </c>
      <c r="K108" s="155">
        <f t="shared" si="2"/>
        <v>4481.84</v>
      </c>
      <c r="L108" s="155">
        <v>1000</v>
      </c>
      <c r="M108" s="233">
        <f>_xlfn.XLOOKUP(G108,'Master Budget'!$G$4:$G$360,'Master Budget'!$O$4:$O$360,0)</f>
        <v>5000</v>
      </c>
      <c r="N108" s="233">
        <f>_xlfn.XLOOKUP(G108,'Master Budget'!$G$4:$G$360,'Master Budget'!$P$4:$P$360,0)</f>
        <v>2500</v>
      </c>
    </row>
    <row r="109" spans="1:14" x14ac:dyDescent="0.25">
      <c r="A109">
        <v>109</v>
      </c>
      <c r="B109" t="s">
        <v>102</v>
      </c>
      <c r="C109" s="234">
        <v>20</v>
      </c>
      <c r="D109">
        <v>200</v>
      </c>
      <c r="E109" t="s">
        <v>10</v>
      </c>
      <c r="F109" t="str">
        <f t="shared" si="3"/>
        <v>200 - General and Administrative</v>
      </c>
      <c r="G109" t="s">
        <v>338</v>
      </c>
      <c r="H109" t="s">
        <v>339</v>
      </c>
      <c r="I109" s="155">
        <v>0</v>
      </c>
      <c r="J109" s="155">
        <v>0</v>
      </c>
      <c r="K109" s="155">
        <f t="shared" si="2"/>
        <v>0</v>
      </c>
      <c r="L109" s="155">
        <v>0</v>
      </c>
      <c r="M109" s="233">
        <f>_xlfn.XLOOKUP(G109,'Master Budget'!$G$4:$G$360,'Master Budget'!$O$4:$O$360,0)</f>
        <v>0</v>
      </c>
      <c r="N109" s="233">
        <f>_xlfn.XLOOKUP(G109,'Master Budget'!$G$4:$G$360,'Master Budget'!$P$4:$P$360,0)</f>
        <v>0</v>
      </c>
    </row>
    <row r="110" spans="1:14" x14ac:dyDescent="0.25">
      <c r="A110">
        <v>110</v>
      </c>
      <c r="B110" t="s">
        <v>102</v>
      </c>
      <c r="C110" s="234">
        <v>20</v>
      </c>
      <c r="D110">
        <v>700</v>
      </c>
      <c r="E110" t="s">
        <v>12</v>
      </c>
      <c r="F110" t="str">
        <f t="shared" si="3"/>
        <v>700 - Depreciation and Amortization</v>
      </c>
      <c r="G110" t="s">
        <v>340</v>
      </c>
      <c r="H110" t="s">
        <v>43</v>
      </c>
      <c r="I110" s="155">
        <v>111637.21</v>
      </c>
      <c r="J110" s="155">
        <v>46515.5</v>
      </c>
      <c r="K110" s="155">
        <f t="shared" si="2"/>
        <v>62020.666666666664</v>
      </c>
      <c r="L110" s="155">
        <v>110000</v>
      </c>
      <c r="M110" s="233">
        <f>_xlfn.XLOOKUP(G110,'Master Budget'!$G$4:$G$360,'Master Budget'!$O$4:$O$360,0)</f>
        <v>110000</v>
      </c>
      <c r="N110" s="233">
        <f>_xlfn.XLOOKUP(G110,'Master Budget'!$G$4:$G$360,'Master Budget'!$P$4:$P$360,0)</f>
        <v>110000</v>
      </c>
    </row>
    <row r="111" spans="1:14" x14ac:dyDescent="0.25">
      <c r="A111">
        <v>111</v>
      </c>
      <c r="B111" t="s">
        <v>102</v>
      </c>
      <c r="C111" s="234">
        <v>20</v>
      </c>
      <c r="D111">
        <v>710</v>
      </c>
      <c r="E111" t="s">
        <v>1233</v>
      </c>
      <c r="F111" t="str">
        <f t="shared" si="3"/>
        <v>710 - capital Outlay</v>
      </c>
      <c r="G111" t="s">
        <v>341</v>
      </c>
      <c r="H111" t="s">
        <v>1222</v>
      </c>
      <c r="I111" s="155">
        <v>0</v>
      </c>
      <c r="J111" s="155">
        <v>0</v>
      </c>
      <c r="K111" s="155">
        <f t="shared" si="2"/>
        <v>0</v>
      </c>
      <c r="L111" s="155">
        <v>0</v>
      </c>
      <c r="M111" s="233">
        <f>_xlfn.XLOOKUP(G111,'Master Budget'!$G$4:$G$360,'Master Budget'!$O$4:$O$360,0)</f>
        <v>0</v>
      </c>
      <c r="N111" s="233">
        <f>_xlfn.XLOOKUP(G111,'Master Budget'!$G$4:$G$360,'Master Budget'!$P$4:$P$360,0)</f>
        <v>0</v>
      </c>
    </row>
    <row r="112" spans="1:14" x14ac:dyDescent="0.25">
      <c r="A112">
        <v>112</v>
      </c>
      <c r="B112" t="s">
        <v>102</v>
      </c>
      <c r="C112" s="234">
        <v>20</v>
      </c>
      <c r="D112">
        <v>710</v>
      </c>
      <c r="E112" t="s">
        <v>1233</v>
      </c>
      <c r="F112" t="str">
        <f t="shared" si="3"/>
        <v>710 - capital Outlay</v>
      </c>
      <c r="G112" t="s">
        <v>343</v>
      </c>
      <c r="H112" t="s">
        <v>1234</v>
      </c>
      <c r="I112" s="155">
        <v>0</v>
      </c>
      <c r="J112" s="155">
        <v>0</v>
      </c>
      <c r="K112" s="155">
        <f t="shared" si="2"/>
        <v>0</v>
      </c>
      <c r="L112" s="155">
        <v>0</v>
      </c>
      <c r="M112" s="233">
        <f>_xlfn.XLOOKUP(G112,'Master Budget'!$G$4:$G$360,'Master Budget'!$O$4:$O$360,0)</f>
        <v>0</v>
      </c>
      <c r="N112" s="233">
        <f>_xlfn.XLOOKUP(G112,'Master Budget'!$G$4:$G$360,'Master Budget'!$P$4:$P$360,0)</f>
        <v>619000</v>
      </c>
    </row>
    <row r="113" spans="1:14" x14ac:dyDescent="0.25">
      <c r="A113">
        <v>113</v>
      </c>
      <c r="B113" t="s">
        <v>102</v>
      </c>
      <c r="C113" s="234">
        <v>20</v>
      </c>
      <c r="D113">
        <v>200</v>
      </c>
      <c r="E113" t="s">
        <v>10</v>
      </c>
      <c r="F113" t="str">
        <f t="shared" si="3"/>
        <v>200 - General and Administrative</v>
      </c>
      <c r="G113" t="s">
        <v>347</v>
      </c>
      <c r="H113" t="s">
        <v>348</v>
      </c>
      <c r="I113" s="155">
        <v>16599.8</v>
      </c>
      <c r="J113" s="155">
        <v>5036.1099999999997</v>
      </c>
      <c r="K113" s="155">
        <f t="shared" si="2"/>
        <v>6714.8133333333335</v>
      </c>
      <c r="L113" s="155">
        <v>40000</v>
      </c>
      <c r="M113" s="233">
        <f>_xlfn.XLOOKUP(G113,'Master Budget'!$G$4:$G$360,'Master Budget'!$O$4:$O$360,0)</f>
        <v>20000</v>
      </c>
      <c r="N113" s="233">
        <f>_xlfn.XLOOKUP(G113,'Master Budget'!$G$4:$G$360,'Master Budget'!$P$4:$P$360,0)</f>
        <v>20000</v>
      </c>
    </row>
    <row r="114" spans="1:14" x14ac:dyDescent="0.25">
      <c r="A114">
        <v>114</v>
      </c>
      <c r="B114" t="s">
        <v>102</v>
      </c>
      <c r="C114" s="234">
        <v>20</v>
      </c>
      <c r="D114">
        <v>200</v>
      </c>
      <c r="E114" t="s">
        <v>10</v>
      </c>
      <c r="F114" t="str">
        <f t="shared" si="3"/>
        <v>200 - General and Administrative</v>
      </c>
      <c r="G114" t="s">
        <v>1065</v>
      </c>
      <c r="H114" t="s">
        <v>1066</v>
      </c>
      <c r="I114" s="155">
        <v>0</v>
      </c>
      <c r="J114" s="155">
        <v>0</v>
      </c>
      <c r="K114" s="155">
        <f t="shared" si="2"/>
        <v>0</v>
      </c>
      <c r="L114" s="155">
        <v>0</v>
      </c>
      <c r="M114" s="233">
        <f>_xlfn.XLOOKUP(G114,'Master Budget'!$G$4:$G$360,'Master Budget'!$O$4:$O$360,0)</f>
        <v>0</v>
      </c>
      <c r="N114" s="233">
        <f>_xlfn.XLOOKUP(G114,'Master Budget'!$G$4:$G$360,'Master Budget'!$P$4:$P$360,0)</f>
        <v>0</v>
      </c>
    </row>
    <row r="115" spans="1:14" x14ac:dyDescent="0.25">
      <c r="A115">
        <v>115</v>
      </c>
      <c r="B115" t="s">
        <v>102</v>
      </c>
      <c r="C115" s="234">
        <v>20</v>
      </c>
      <c r="D115">
        <v>200</v>
      </c>
      <c r="E115" t="s">
        <v>10</v>
      </c>
      <c r="F115" t="str">
        <f t="shared" si="3"/>
        <v>200 - General and Administrative</v>
      </c>
      <c r="G115" t="s">
        <v>349</v>
      </c>
      <c r="H115" t="s">
        <v>350</v>
      </c>
      <c r="I115" s="155">
        <v>37833.79</v>
      </c>
      <c r="J115" s="155">
        <v>19187.28</v>
      </c>
      <c r="K115" s="155">
        <f t="shared" ref="K115:K116" si="4">J115/9*12</f>
        <v>25583.040000000001</v>
      </c>
      <c r="L115" s="155">
        <v>25000</v>
      </c>
      <c r="M115" s="233">
        <f>_xlfn.XLOOKUP(G115,'Master Budget'!$G$4:$G$360,'Master Budget'!$O$4:$O$360,0)</f>
        <v>25000</v>
      </c>
      <c r="N115" s="233">
        <f>_xlfn.XLOOKUP(G115,'Master Budget'!$G$4:$G$360,'Master Budget'!$P$4:$P$360,0)</f>
        <v>15000</v>
      </c>
    </row>
    <row r="116" spans="1:14" x14ac:dyDescent="0.25">
      <c r="A116">
        <v>116</v>
      </c>
      <c r="B116" t="s">
        <v>102</v>
      </c>
      <c r="C116" s="234">
        <v>20</v>
      </c>
      <c r="D116">
        <v>720</v>
      </c>
      <c r="E116" t="s">
        <v>883</v>
      </c>
      <c r="F116" t="str">
        <f t="shared" si="3"/>
        <v>720 - Gain/Loss on disposal</v>
      </c>
      <c r="G116" t="s">
        <v>351</v>
      </c>
      <c r="H116" t="s">
        <v>164</v>
      </c>
      <c r="I116" s="155">
        <v>0</v>
      </c>
      <c r="J116" s="155">
        <v>0</v>
      </c>
      <c r="K116" s="155">
        <f t="shared" si="4"/>
        <v>0</v>
      </c>
      <c r="L116" s="155">
        <v>0</v>
      </c>
      <c r="M116" s="233">
        <f>_xlfn.XLOOKUP(G116,'Master Budget'!$G$4:$G$360,'Master Budget'!$O$4:$O$360,0)</f>
        <v>0</v>
      </c>
      <c r="N116" s="233">
        <f>_xlfn.XLOOKUP(G116,'Master Budget'!$G$4:$G$360,'Master Budget'!$P$4:$P$360,0)</f>
        <v>0</v>
      </c>
    </row>
    <row r="117" spans="1:14" x14ac:dyDescent="0.25">
      <c r="A117">
        <v>117</v>
      </c>
      <c r="B117" t="s">
        <v>50</v>
      </c>
      <c r="C117" s="234">
        <v>22</v>
      </c>
      <c r="D117">
        <v>10000</v>
      </c>
      <c r="E117" t="s">
        <v>1029</v>
      </c>
      <c r="F117" t="str">
        <f t="shared" si="3"/>
        <v>10000 - Cash and Cash Equivalents</v>
      </c>
      <c r="G117" t="s">
        <v>402</v>
      </c>
      <c r="H117" t="s">
        <v>49</v>
      </c>
      <c r="I117" s="155">
        <v>1385039.55</v>
      </c>
      <c r="J117" s="155">
        <v>1090096.98</v>
      </c>
      <c r="K117" s="155"/>
      <c r="L117" s="155">
        <v>0</v>
      </c>
      <c r="M117" s="233">
        <f>_xlfn.XLOOKUP(G117,'Master Budget'!$G$4:$G$360,'Master Budget'!$O$4:$O$360,0)</f>
        <v>0</v>
      </c>
      <c r="N117" s="233">
        <f>_xlfn.XLOOKUP(G117,'Master Budget'!$G$4:$G$360,'Master Budget'!$P$4:$P$360,0)</f>
        <v>0</v>
      </c>
    </row>
    <row r="118" spans="1:14" x14ac:dyDescent="0.25">
      <c r="A118">
        <v>118</v>
      </c>
      <c r="B118" t="s">
        <v>50</v>
      </c>
      <c r="C118" s="234">
        <v>22</v>
      </c>
      <c r="D118">
        <v>16200</v>
      </c>
      <c r="E118" t="s">
        <v>1074</v>
      </c>
      <c r="F118" t="str">
        <f t="shared" si="3"/>
        <v>16200 - Noncurrent restricted cash and investments</v>
      </c>
      <c r="G118" t="s">
        <v>1067</v>
      </c>
      <c r="H118" t="s">
        <v>1031</v>
      </c>
      <c r="I118" s="155">
        <v>0</v>
      </c>
      <c r="J118" s="155">
        <v>0</v>
      </c>
      <c r="K118" s="155"/>
      <c r="L118" s="155">
        <v>0</v>
      </c>
      <c r="M118" s="233">
        <f>_xlfn.XLOOKUP(G118,'Master Budget'!$G$4:$G$360,'Master Budget'!$O$4:$O$360,0)</f>
        <v>0</v>
      </c>
      <c r="N118" s="233">
        <f>_xlfn.XLOOKUP(G118,'Master Budget'!$G$4:$G$360,'Master Budget'!$P$4:$P$360,0)</f>
        <v>0</v>
      </c>
    </row>
    <row r="119" spans="1:14" x14ac:dyDescent="0.25">
      <c r="A119">
        <v>119</v>
      </c>
      <c r="B119" t="s">
        <v>50</v>
      </c>
      <c r="C119" s="234">
        <v>22</v>
      </c>
      <c r="D119">
        <v>10000</v>
      </c>
      <c r="E119" t="s">
        <v>1029</v>
      </c>
      <c r="F119" t="str">
        <f t="shared" si="3"/>
        <v>10000 - Cash and Cash Equivalents</v>
      </c>
      <c r="G119" t="s">
        <v>833</v>
      </c>
      <c r="H119" t="s">
        <v>1235</v>
      </c>
      <c r="I119" s="155">
        <v>0</v>
      </c>
      <c r="J119" s="155">
        <v>325847.95</v>
      </c>
      <c r="K119" s="155"/>
      <c r="L119" s="155"/>
      <c r="M119" s="233">
        <f>_xlfn.XLOOKUP(G119,'Master Budget'!$G$4:$G$360,'Master Budget'!$O$4:$O$360,0)</f>
        <v>0</v>
      </c>
      <c r="N119" s="233">
        <f>_xlfn.XLOOKUP(G119,'Master Budget'!$G$4:$G$360,'Master Budget'!$P$4:$P$360,0)</f>
        <v>0</v>
      </c>
    </row>
    <row r="120" spans="1:14" x14ac:dyDescent="0.25">
      <c r="A120">
        <v>120</v>
      </c>
      <c r="B120" t="s">
        <v>50</v>
      </c>
      <c r="C120" s="234">
        <v>22</v>
      </c>
      <c r="D120">
        <v>10000</v>
      </c>
      <c r="E120" t="s">
        <v>1029</v>
      </c>
      <c r="F120" t="str">
        <f t="shared" si="3"/>
        <v>10000 - Cash and Cash Equivalents</v>
      </c>
      <c r="G120" t="s">
        <v>403</v>
      </c>
      <c r="H120" t="s">
        <v>404</v>
      </c>
      <c r="I120" s="155">
        <v>317383.14</v>
      </c>
      <c r="J120" s="155">
        <v>0</v>
      </c>
      <c r="K120" s="155"/>
      <c r="L120" s="155">
        <v>0</v>
      </c>
      <c r="M120" s="233">
        <f>_xlfn.XLOOKUP(G120,'Master Budget'!$G$4:$G$360,'Master Budget'!$O$4:$O$360,0)</f>
        <v>0</v>
      </c>
      <c r="N120" s="233">
        <f>_xlfn.XLOOKUP(G120,'Master Budget'!$G$4:$G$360,'Master Budget'!$P$4:$P$360,0)</f>
        <v>0</v>
      </c>
    </row>
    <row r="121" spans="1:14" x14ac:dyDescent="0.25">
      <c r="A121">
        <v>121</v>
      </c>
      <c r="B121" t="s">
        <v>50</v>
      </c>
      <c r="C121" s="234">
        <v>22</v>
      </c>
      <c r="D121">
        <v>11500</v>
      </c>
      <c r="E121" t="s">
        <v>54</v>
      </c>
      <c r="F121" t="str">
        <f t="shared" si="3"/>
        <v>11500 - Accounts Receivable</v>
      </c>
      <c r="G121" t="s">
        <v>405</v>
      </c>
      <c r="H121" t="s">
        <v>54</v>
      </c>
      <c r="I121" s="155">
        <v>275525.64</v>
      </c>
      <c r="J121" s="155">
        <v>1014498.46</v>
      </c>
      <c r="K121" s="155"/>
      <c r="L121" s="155">
        <v>0</v>
      </c>
      <c r="M121" s="233">
        <f>_xlfn.XLOOKUP(G121,'Master Budget'!$G$4:$G$360,'Master Budget'!$O$4:$O$360,0)</f>
        <v>0</v>
      </c>
      <c r="N121" s="233">
        <f>_xlfn.XLOOKUP(G121,'Master Budget'!$G$4:$G$360,'Master Budget'!$P$4:$P$360,0)</f>
        <v>0</v>
      </c>
    </row>
    <row r="122" spans="1:14" x14ac:dyDescent="0.25">
      <c r="A122">
        <v>122</v>
      </c>
      <c r="B122" t="s">
        <v>50</v>
      </c>
      <c r="C122" s="234">
        <v>22</v>
      </c>
      <c r="D122">
        <v>16320</v>
      </c>
      <c r="E122" t="s">
        <v>796</v>
      </c>
      <c r="F122" t="str">
        <f t="shared" si="3"/>
        <v>16320 - Equipment</v>
      </c>
      <c r="G122" t="s">
        <v>406</v>
      </c>
      <c r="H122" t="s">
        <v>184</v>
      </c>
      <c r="I122" s="155">
        <v>778133</v>
      </c>
      <c r="J122" s="155">
        <v>778133</v>
      </c>
      <c r="K122" s="155"/>
      <c r="L122" s="155">
        <v>0</v>
      </c>
      <c r="M122" s="233">
        <f>_xlfn.XLOOKUP(G122,'Master Budget'!$G$4:$G$360,'Master Budget'!$O$4:$O$360,0)</f>
        <v>0</v>
      </c>
      <c r="N122" s="233">
        <f>_xlfn.XLOOKUP(G122,'Master Budget'!$G$4:$G$360,'Master Budget'!$P$4:$P$360,0)</f>
        <v>0</v>
      </c>
    </row>
    <row r="123" spans="1:14" x14ac:dyDescent="0.25">
      <c r="A123">
        <v>123</v>
      </c>
      <c r="B123" t="s">
        <v>50</v>
      </c>
      <c r="C123" s="234">
        <v>22</v>
      </c>
      <c r="D123">
        <v>16900</v>
      </c>
      <c r="E123" t="s">
        <v>198</v>
      </c>
      <c r="F123" t="str">
        <f t="shared" si="3"/>
        <v>16900 - Accumulated Depreciation</v>
      </c>
      <c r="G123" t="s">
        <v>407</v>
      </c>
      <c r="H123" t="s">
        <v>198</v>
      </c>
      <c r="I123" s="155">
        <v>-196532.31</v>
      </c>
      <c r="J123" s="155">
        <v>-217888.36</v>
      </c>
      <c r="K123" s="155"/>
      <c r="L123" s="155">
        <v>0</v>
      </c>
      <c r="M123" s="233">
        <f>_xlfn.XLOOKUP(G123,'Master Budget'!$G$4:$G$360,'Master Budget'!$O$4:$O$360,0)</f>
        <v>0</v>
      </c>
      <c r="N123" s="233">
        <f>_xlfn.XLOOKUP(G123,'Master Budget'!$G$4:$G$360,'Master Budget'!$P$4:$P$360,0)</f>
        <v>0</v>
      </c>
    </row>
    <row r="124" spans="1:14" x14ac:dyDescent="0.25">
      <c r="A124">
        <v>124</v>
      </c>
      <c r="B124" t="s">
        <v>50</v>
      </c>
      <c r="C124" s="234">
        <v>22</v>
      </c>
      <c r="D124">
        <v>17000</v>
      </c>
      <c r="E124" t="s">
        <v>64</v>
      </c>
      <c r="F124" t="str">
        <f t="shared" si="3"/>
        <v>17000 - Net Pension Asset</v>
      </c>
      <c r="G124" t="s">
        <v>1184</v>
      </c>
      <c r="H124" t="s">
        <v>64</v>
      </c>
      <c r="I124" s="155">
        <v>0</v>
      </c>
      <c r="J124" s="155">
        <v>0</v>
      </c>
      <c r="K124" s="155"/>
      <c r="L124" s="155"/>
      <c r="M124" s="233">
        <f>_xlfn.XLOOKUP(G124,'Master Budget'!$G$4:$G$360,'Master Budget'!$O$4:$O$360,0)</f>
        <v>0</v>
      </c>
      <c r="N124" s="233">
        <f>_xlfn.XLOOKUP(G124,'Master Budget'!$G$4:$G$360,'Master Budget'!$P$4:$P$360,0)</f>
        <v>0</v>
      </c>
    </row>
    <row r="125" spans="1:14" x14ac:dyDescent="0.25">
      <c r="A125">
        <v>125</v>
      </c>
      <c r="B125" t="s">
        <v>50</v>
      </c>
      <c r="C125" s="234">
        <v>22</v>
      </c>
      <c r="D125">
        <v>17010</v>
      </c>
      <c r="E125" t="s">
        <v>66</v>
      </c>
      <c r="F125" t="str">
        <f t="shared" si="3"/>
        <v>17010 - Deferred Outflows - Pensions</v>
      </c>
      <c r="G125" t="s">
        <v>1185</v>
      </c>
      <c r="H125" t="s">
        <v>201</v>
      </c>
      <c r="I125" s="155">
        <v>0</v>
      </c>
      <c r="J125" s="155">
        <v>0</v>
      </c>
      <c r="K125" s="155"/>
      <c r="L125" s="155"/>
      <c r="M125" s="233">
        <f>_xlfn.XLOOKUP(G125,'Master Budget'!$G$4:$G$360,'Master Budget'!$O$4:$O$360,0)</f>
        <v>0</v>
      </c>
      <c r="N125" s="233">
        <f>_xlfn.XLOOKUP(G125,'Master Budget'!$G$4:$G$360,'Master Budget'!$P$4:$P$360,0)</f>
        <v>0</v>
      </c>
    </row>
    <row r="126" spans="1:14" x14ac:dyDescent="0.25">
      <c r="A126">
        <v>126</v>
      </c>
      <c r="B126" t="s">
        <v>71</v>
      </c>
      <c r="C126" s="234">
        <v>22</v>
      </c>
      <c r="D126">
        <v>21100</v>
      </c>
      <c r="E126" t="s">
        <v>70</v>
      </c>
      <c r="F126" t="str">
        <f t="shared" si="3"/>
        <v>21100 - Accounts Payable</v>
      </c>
      <c r="G126" t="s">
        <v>408</v>
      </c>
      <c r="H126" t="s">
        <v>70</v>
      </c>
      <c r="I126" s="155">
        <v>-204.15</v>
      </c>
      <c r="J126" s="155">
        <v>6581.86</v>
      </c>
      <c r="K126" s="155"/>
      <c r="L126" s="155">
        <v>0</v>
      </c>
      <c r="M126" s="233">
        <f>_xlfn.XLOOKUP(G126,'Master Budget'!$G$4:$G$360,'Master Budget'!$O$4:$O$360,0)</f>
        <v>0</v>
      </c>
      <c r="N126" s="233">
        <f>_xlfn.XLOOKUP(G126,'Master Budget'!$G$4:$G$360,'Master Budget'!$P$4:$P$360,0)</f>
        <v>0</v>
      </c>
    </row>
    <row r="127" spans="1:14" x14ac:dyDescent="0.25">
      <c r="A127">
        <v>127</v>
      </c>
      <c r="B127" t="s">
        <v>71</v>
      </c>
      <c r="C127" s="234">
        <v>22</v>
      </c>
      <c r="D127">
        <v>22200</v>
      </c>
      <c r="E127" t="s">
        <v>1040</v>
      </c>
      <c r="F127" t="str">
        <f t="shared" si="3"/>
        <v>22200 - Accrued Expenses</v>
      </c>
      <c r="G127" t="s">
        <v>409</v>
      </c>
      <c r="H127" t="s">
        <v>73</v>
      </c>
      <c r="I127" s="155">
        <v>-4596</v>
      </c>
      <c r="J127" s="155">
        <v>-38008.03</v>
      </c>
      <c r="K127" s="155"/>
      <c r="L127" s="155">
        <v>0</v>
      </c>
      <c r="M127" s="233">
        <f>_xlfn.XLOOKUP(G127,'Master Budget'!$G$4:$G$360,'Master Budget'!$O$4:$O$360,0)</f>
        <v>0</v>
      </c>
      <c r="N127" s="233">
        <f>_xlfn.XLOOKUP(G127,'Master Budget'!$G$4:$G$360,'Master Budget'!$P$4:$P$360,0)</f>
        <v>0</v>
      </c>
    </row>
    <row r="128" spans="1:14" x14ac:dyDescent="0.25">
      <c r="A128">
        <v>128</v>
      </c>
      <c r="B128" t="s">
        <v>71</v>
      </c>
      <c r="C128" s="234">
        <v>22</v>
      </c>
      <c r="D128">
        <v>22200</v>
      </c>
      <c r="E128" t="s">
        <v>1040</v>
      </c>
      <c r="F128" t="str">
        <f t="shared" si="3"/>
        <v>22200 - Accrued Expenses</v>
      </c>
      <c r="G128" t="s">
        <v>410</v>
      </c>
      <c r="H128" t="s">
        <v>208</v>
      </c>
      <c r="I128" s="155">
        <v>0</v>
      </c>
      <c r="J128" s="155">
        <v>-11894.23</v>
      </c>
      <c r="K128" s="155"/>
      <c r="L128" s="155">
        <v>0</v>
      </c>
      <c r="M128" s="233">
        <f>_xlfn.XLOOKUP(G128,'Master Budget'!$G$4:$G$360,'Master Budget'!$O$4:$O$360,0)</f>
        <v>0</v>
      </c>
      <c r="N128" s="233">
        <f>_xlfn.XLOOKUP(G128,'Master Budget'!$G$4:$G$360,'Master Budget'!$P$4:$P$360,0)</f>
        <v>0</v>
      </c>
    </row>
    <row r="129" spans="1:14" x14ac:dyDescent="0.25">
      <c r="A129">
        <v>129</v>
      </c>
      <c r="B129" t="s">
        <v>71</v>
      </c>
      <c r="C129" s="234">
        <v>22</v>
      </c>
      <c r="D129">
        <v>22200</v>
      </c>
      <c r="E129" t="s">
        <v>1040</v>
      </c>
      <c r="F129" t="str">
        <f t="shared" si="3"/>
        <v>22200 - Accrued Expenses</v>
      </c>
      <c r="G129" t="s">
        <v>411</v>
      </c>
      <c r="H129" t="s">
        <v>210</v>
      </c>
      <c r="I129" s="155">
        <v>0</v>
      </c>
      <c r="J129" s="155">
        <v>-2116.2800000000002</v>
      </c>
      <c r="K129" s="155"/>
      <c r="L129" s="155">
        <v>0</v>
      </c>
      <c r="M129" s="233">
        <f>_xlfn.XLOOKUP(G129,'Master Budget'!$G$4:$G$360,'Master Budget'!$O$4:$O$360,0)</f>
        <v>0</v>
      </c>
      <c r="N129" s="233">
        <f>_xlfn.XLOOKUP(G129,'Master Budget'!$G$4:$G$360,'Master Budget'!$P$4:$P$360,0)</f>
        <v>0</v>
      </c>
    </row>
    <row r="130" spans="1:14" x14ac:dyDescent="0.25">
      <c r="A130">
        <v>130</v>
      </c>
      <c r="B130" t="s">
        <v>71</v>
      </c>
      <c r="C130" s="234">
        <v>22</v>
      </c>
      <c r="D130">
        <v>28560</v>
      </c>
      <c r="E130" t="s">
        <v>79</v>
      </c>
      <c r="F130" t="str">
        <f t="shared" ref="F130:F191" si="5">D130&amp;" - "&amp;E130</f>
        <v>28560 - Net Pension Liability</v>
      </c>
      <c r="G130" t="s">
        <v>1186</v>
      </c>
      <c r="H130" t="s">
        <v>79</v>
      </c>
      <c r="I130" s="155">
        <v>0</v>
      </c>
      <c r="J130" s="155">
        <v>0</v>
      </c>
      <c r="K130" s="155"/>
      <c r="L130" s="155"/>
      <c r="M130" s="233">
        <f>_xlfn.XLOOKUP(G130,'Master Budget'!$G$4:$G$360,'Master Budget'!$O$4:$O$360,0)</f>
        <v>0</v>
      </c>
      <c r="N130" s="233">
        <f>_xlfn.XLOOKUP(G130,'Master Budget'!$G$4:$G$360,'Master Budget'!$P$4:$P$360,0)</f>
        <v>0</v>
      </c>
    </row>
    <row r="131" spans="1:14" x14ac:dyDescent="0.25">
      <c r="A131">
        <v>131</v>
      </c>
      <c r="B131" t="s">
        <v>71</v>
      </c>
      <c r="C131" s="234">
        <v>22</v>
      </c>
      <c r="D131">
        <v>22520</v>
      </c>
      <c r="E131" t="s">
        <v>1041</v>
      </c>
      <c r="F131" t="str">
        <f t="shared" si="5"/>
        <v>22520 - Deferred inflows</v>
      </c>
      <c r="G131" t="s">
        <v>1187</v>
      </c>
      <c r="H131" t="s">
        <v>213</v>
      </c>
      <c r="I131" s="155">
        <v>0</v>
      </c>
      <c r="J131" s="155">
        <v>0</v>
      </c>
      <c r="K131" s="155"/>
      <c r="L131" s="155"/>
      <c r="M131" s="233">
        <f>_xlfn.XLOOKUP(G131,'Master Budget'!$G$4:$G$360,'Master Budget'!$O$4:$O$360,0)</f>
        <v>0</v>
      </c>
      <c r="N131" s="233">
        <f>_xlfn.XLOOKUP(G131,'Master Budget'!$G$4:$G$360,'Master Budget'!$P$4:$P$360,0)</f>
        <v>0</v>
      </c>
    </row>
    <row r="132" spans="1:14" x14ac:dyDescent="0.25">
      <c r="A132">
        <v>132</v>
      </c>
      <c r="B132" t="s">
        <v>71</v>
      </c>
      <c r="C132" s="234">
        <v>22</v>
      </c>
      <c r="D132">
        <v>22200</v>
      </c>
      <c r="E132" t="s">
        <v>1040</v>
      </c>
      <c r="F132" t="str">
        <f t="shared" si="5"/>
        <v>22200 - Accrued Expenses</v>
      </c>
      <c r="G132" t="s">
        <v>835</v>
      </c>
      <c r="H132" t="s">
        <v>215</v>
      </c>
      <c r="I132" s="155">
        <v>0</v>
      </c>
      <c r="J132" s="155">
        <v>88.08</v>
      </c>
      <c r="K132" s="155"/>
      <c r="L132" s="155"/>
      <c r="M132" s="233">
        <f>_xlfn.XLOOKUP(G132,'Master Budget'!$G$4:$G$360,'Master Budget'!$O$4:$O$360,0)</f>
        <v>0</v>
      </c>
      <c r="N132" s="233">
        <f>_xlfn.XLOOKUP(G132,'Master Budget'!$G$4:$G$360,'Master Budget'!$P$4:$P$360,0)</f>
        <v>0</v>
      </c>
    </row>
    <row r="133" spans="1:14" x14ac:dyDescent="0.25">
      <c r="A133">
        <v>133</v>
      </c>
      <c r="B133" t="s">
        <v>71</v>
      </c>
      <c r="C133" s="234">
        <v>22</v>
      </c>
      <c r="D133">
        <v>22200</v>
      </c>
      <c r="E133" t="s">
        <v>1040</v>
      </c>
      <c r="F133" t="str">
        <f t="shared" si="5"/>
        <v>22200 - Accrued Expenses</v>
      </c>
      <c r="G133" t="s">
        <v>412</v>
      </c>
      <c r="H133" t="s">
        <v>217</v>
      </c>
      <c r="I133" s="155">
        <v>0</v>
      </c>
      <c r="J133" s="155">
        <v>79.3</v>
      </c>
      <c r="K133" s="155"/>
      <c r="L133" s="155">
        <v>0</v>
      </c>
      <c r="M133" s="233">
        <f>_xlfn.XLOOKUP(G133,'Master Budget'!$G$4:$G$360,'Master Budget'!$O$4:$O$360,0)</f>
        <v>0</v>
      </c>
      <c r="N133" s="233">
        <f>_xlfn.XLOOKUP(G133,'Master Budget'!$G$4:$G$360,'Master Budget'!$P$4:$P$360,0)</f>
        <v>0</v>
      </c>
    </row>
    <row r="134" spans="1:14" x14ac:dyDescent="0.25">
      <c r="A134">
        <v>134</v>
      </c>
      <c r="B134" t="s">
        <v>71</v>
      </c>
      <c r="C134" s="234">
        <v>22</v>
      </c>
      <c r="D134">
        <v>22200</v>
      </c>
      <c r="E134" t="s">
        <v>1040</v>
      </c>
      <c r="F134" t="str">
        <f t="shared" si="5"/>
        <v>22200 - Accrued Expenses</v>
      </c>
      <c r="G134" t="s">
        <v>413</v>
      </c>
      <c r="H134" t="s">
        <v>219</v>
      </c>
      <c r="I134" s="155">
        <v>0</v>
      </c>
      <c r="J134" s="155">
        <v>-130.77000000000001</v>
      </c>
      <c r="K134" s="155"/>
      <c r="L134" s="155">
        <v>0</v>
      </c>
      <c r="M134" s="233">
        <f>_xlfn.XLOOKUP(G134,'Master Budget'!$G$4:$G$360,'Master Budget'!$O$4:$O$360,0)</f>
        <v>0</v>
      </c>
      <c r="N134" s="233">
        <f>_xlfn.XLOOKUP(G134,'Master Budget'!$G$4:$G$360,'Master Budget'!$P$4:$P$360,0)</f>
        <v>0</v>
      </c>
    </row>
    <row r="135" spans="1:14" x14ac:dyDescent="0.25">
      <c r="A135">
        <v>135</v>
      </c>
      <c r="B135" t="s">
        <v>71</v>
      </c>
      <c r="C135" s="234">
        <v>22</v>
      </c>
      <c r="D135">
        <v>22200</v>
      </c>
      <c r="E135" t="s">
        <v>1040</v>
      </c>
      <c r="F135" t="str">
        <f t="shared" si="5"/>
        <v>22200 - Accrued Expenses</v>
      </c>
      <c r="G135" t="s">
        <v>836</v>
      </c>
      <c r="H135" t="s">
        <v>89</v>
      </c>
      <c r="I135" s="155">
        <v>-5476.31</v>
      </c>
      <c r="J135" s="155">
        <v>-5476.31</v>
      </c>
      <c r="K135" s="155"/>
      <c r="L135" s="155"/>
      <c r="M135" s="233">
        <f>_xlfn.XLOOKUP(G135,'Master Budget'!$G$4:$G$360,'Master Budget'!$O$4:$O$360,0)</f>
        <v>0</v>
      </c>
      <c r="N135" s="233">
        <f>_xlfn.XLOOKUP(G135,'Master Budget'!$G$4:$G$360,'Master Budget'!$P$4:$P$360,0)</f>
        <v>0</v>
      </c>
    </row>
    <row r="136" spans="1:14" x14ac:dyDescent="0.25">
      <c r="A136">
        <v>136</v>
      </c>
      <c r="B136" t="s">
        <v>71</v>
      </c>
      <c r="C136" s="234">
        <v>22</v>
      </c>
      <c r="D136">
        <v>22250</v>
      </c>
      <c r="E136" t="s">
        <v>1178</v>
      </c>
      <c r="F136" t="str">
        <f t="shared" si="5"/>
        <v>22250 - Compensated Absences Noncurrent</v>
      </c>
      <c r="G136" t="s">
        <v>837</v>
      </c>
      <c r="H136" t="s">
        <v>1178</v>
      </c>
      <c r="I136" s="155">
        <v>-7059.79</v>
      </c>
      <c r="J136" s="155">
        <v>-7059.79</v>
      </c>
      <c r="K136" s="155"/>
      <c r="L136" s="155"/>
      <c r="M136" s="233">
        <f>_xlfn.XLOOKUP(G136,'Master Budget'!$G$4:$G$360,'Master Budget'!$O$4:$O$360,0)</f>
        <v>0</v>
      </c>
      <c r="N136" s="233">
        <f>_xlfn.XLOOKUP(G136,'Master Budget'!$G$4:$G$360,'Master Budget'!$P$4:$P$360,0)</f>
        <v>0</v>
      </c>
    </row>
    <row r="137" spans="1:14" x14ac:dyDescent="0.25">
      <c r="A137">
        <v>137</v>
      </c>
      <c r="B137" t="s">
        <v>1049</v>
      </c>
      <c r="C137" s="234">
        <v>22</v>
      </c>
      <c r="D137">
        <v>29100</v>
      </c>
      <c r="E137" t="s">
        <v>1050</v>
      </c>
      <c r="F137" t="str">
        <f t="shared" si="5"/>
        <v>29100 - Unrestricted</v>
      </c>
      <c r="G137" t="s">
        <v>414</v>
      </c>
      <c r="H137" t="s">
        <v>246</v>
      </c>
      <c r="I137" s="155">
        <v>-1990906.48</v>
      </c>
      <c r="J137" s="155">
        <v>-2542212.77</v>
      </c>
      <c r="K137" s="155"/>
      <c r="L137" s="155">
        <v>0</v>
      </c>
      <c r="M137" s="233">
        <f>_xlfn.XLOOKUP(G137,'Master Budget'!$G$4:$G$360,'Master Budget'!$O$4:$O$360,0)</f>
        <v>0</v>
      </c>
      <c r="N137" s="233">
        <f>_xlfn.XLOOKUP(G137,'Master Budget'!$G$4:$G$360,'Master Budget'!$P$4:$P$360,0)</f>
        <v>0</v>
      </c>
    </row>
    <row r="138" spans="1:14" x14ac:dyDescent="0.25">
      <c r="A138">
        <v>138</v>
      </c>
      <c r="B138" t="s">
        <v>97</v>
      </c>
      <c r="C138" s="234">
        <v>22</v>
      </c>
      <c r="D138">
        <v>70</v>
      </c>
      <c r="E138" t="s">
        <v>20</v>
      </c>
      <c r="F138" t="str">
        <f t="shared" si="5"/>
        <v>70 - Grant revenue</v>
      </c>
      <c r="G138" t="s">
        <v>415</v>
      </c>
      <c r="H138" t="s">
        <v>416</v>
      </c>
      <c r="I138" s="155">
        <v>-29200</v>
      </c>
      <c r="J138" s="155">
        <v>-9909.5499999999993</v>
      </c>
      <c r="K138" s="155">
        <f t="shared" ref="K138:K162" si="6">J138/9*12</f>
        <v>-13212.733333333334</v>
      </c>
      <c r="L138" s="155">
        <v>-50000</v>
      </c>
      <c r="M138" s="233">
        <f>_xlfn.XLOOKUP(G138,'Master Budget'!$G$4:$G$360,'Master Budget'!$O$4:$O$360,0)</f>
        <v>-10000</v>
      </c>
      <c r="N138" s="233">
        <f>_xlfn.XLOOKUP(G138,'Master Budget'!$G$4:$G$360,'Master Budget'!$P$4:$P$360,0)</f>
        <v>-60000</v>
      </c>
    </row>
    <row r="139" spans="1:14" x14ac:dyDescent="0.25">
      <c r="A139">
        <v>139</v>
      </c>
      <c r="B139" t="s">
        <v>97</v>
      </c>
      <c r="C139" s="234">
        <v>22</v>
      </c>
      <c r="D139">
        <v>30</v>
      </c>
      <c r="E139" t="s">
        <v>6</v>
      </c>
      <c r="F139" t="str">
        <f t="shared" si="5"/>
        <v>30 - Charges for services</v>
      </c>
      <c r="G139" t="s">
        <v>417</v>
      </c>
      <c r="H139" t="s">
        <v>418</v>
      </c>
      <c r="I139" s="155">
        <v>-1581410.92</v>
      </c>
      <c r="J139" s="155">
        <v>-1938215.3</v>
      </c>
      <c r="K139" s="232">
        <f t="shared" si="6"/>
        <v>-2584287.0666666669</v>
      </c>
      <c r="L139" s="155">
        <v>-900000</v>
      </c>
      <c r="M139" s="233">
        <f>_xlfn.XLOOKUP(G139,'Master Budget'!$G$4:$G$360,'Master Budget'!$O$4:$O$360,0)</f>
        <v>-2200000</v>
      </c>
      <c r="N139" s="233">
        <f>_xlfn.XLOOKUP(G139,'Master Budget'!$G$4:$G$360,'Master Budget'!$P$4:$P$360,0)</f>
        <v>-1686024</v>
      </c>
    </row>
    <row r="140" spans="1:14" x14ac:dyDescent="0.25">
      <c r="A140">
        <v>140</v>
      </c>
      <c r="B140" t="s">
        <v>97</v>
      </c>
      <c r="C140" s="234">
        <v>22</v>
      </c>
      <c r="D140">
        <v>30</v>
      </c>
      <c r="E140" t="s">
        <v>6</v>
      </c>
      <c r="F140" t="str">
        <f t="shared" si="5"/>
        <v>30 - Charges for services</v>
      </c>
      <c r="G140" t="s">
        <v>419</v>
      </c>
      <c r="H140" t="s">
        <v>1068</v>
      </c>
      <c r="I140" s="155">
        <v>0</v>
      </c>
      <c r="J140" s="155">
        <v>0</v>
      </c>
      <c r="K140" s="155">
        <f t="shared" si="6"/>
        <v>0</v>
      </c>
      <c r="L140" s="155">
        <v>0</v>
      </c>
      <c r="M140" s="233">
        <f>_xlfn.XLOOKUP(G140,'Master Budget'!$G$4:$G$360,'Master Budget'!$O$4:$O$360,0)</f>
        <v>0</v>
      </c>
      <c r="N140" s="233">
        <f>_xlfn.XLOOKUP(G140,'Master Budget'!$G$4:$G$360,'Master Budget'!$P$4:$P$360,0)</f>
        <v>0</v>
      </c>
    </row>
    <row r="141" spans="1:14" x14ac:dyDescent="0.25">
      <c r="A141">
        <v>141</v>
      </c>
      <c r="B141" t="s">
        <v>97</v>
      </c>
      <c r="C141" s="234">
        <v>22</v>
      </c>
      <c r="D141">
        <v>30</v>
      </c>
      <c r="E141" t="s">
        <v>6</v>
      </c>
      <c r="F141" t="str">
        <f t="shared" si="5"/>
        <v>30 - Charges for services</v>
      </c>
      <c r="G141" t="s">
        <v>421</v>
      </c>
      <c r="H141" t="s">
        <v>99</v>
      </c>
      <c r="I141" s="155">
        <v>0</v>
      </c>
      <c r="J141" s="155">
        <v>0</v>
      </c>
      <c r="K141" s="155">
        <f t="shared" si="6"/>
        <v>0</v>
      </c>
      <c r="L141" s="155">
        <v>0</v>
      </c>
      <c r="M141" s="233">
        <f>_xlfn.XLOOKUP(G141,'Master Budget'!$G$4:$G$360,'Master Budget'!$O$4:$O$360,0)</f>
        <v>0</v>
      </c>
      <c r="N141" s="233">
        <f>_xlfn.XLOOKUP(G141,'Master Budget'!$G$4:$G$360,'Master Budget'!$P$4:$P$360,0)</f>
        <v>0</v>
      </c>
    </row>
    <row r="142" spans="1:14" x14ac:dyDescent="0.25">
      <c r="A142">
        <v>142</v>
      </c>
      <c r="B142" t="s">
        <v>97</v>
      </c>
      <c r="C142" s="234">
        <v>22</v>
      </c>
      <c r="D142">
        <v>960</v>
      </c>
      <c r="E142" t="s">
        <v>19</v>
      </c>
      <c r="F142" t="str">
        <f t="shared" si="5"/>
        <v>960 - Interest income</v>
      </c>
      <c r="G142" t="s">
        <v>422</v>
      </c>
      <c r="H142" t="s">
        <v>261</v>
      </c>
      <c r="I142" s="155">
        <v>-12491.06</v>
      </c>
      <c r="J142" s="155">
        <v>-11207.21</v>
      </c>
      <c r="K142" s="155">
        <f t="shared" si="6"/>
        <v>-14942.946666666667</v>
      </c>
      <c r="L142" s="155">
        <v>0</v>
      </c>
      <c r="M142" s="233">
        <f>_xlfn.XLOOKUP(G142,'Master Budget'!$G$4:$G$360,'Master Budget'!$O$4:$O$360,0)</f>
        <v>-14000</v>
      </c>
      <c r="N142" s="233">
        <f>_xlfn.XLOOKUP(G142,'Master Budget'!$G$4:$G$360,'Master Budget'!$P$4:$P$360,0)</f>
        <v>-12000</v>
      </c>
    </row>
    <row r="143" spans="1:14" x14ac:dyDescent="0.25">
      <c r="A143">
        <v>144</v>
      </c>
      <c r="B143" t="s">
        <v>102</v>
      </c>
      <c r="C143" s="234">
        <v>22</v>
      </c>
      <c r="D143">
        <v>100</v>
      </c>
      <c r="E143" t="s">
        <v>9</v>
      </c>
      <c r="F143" t="str">
        <f t="shared" si="5"/>
        <v>100 - Salaries and Benefits</v>
      </c>
      <c r="G143" t="s">
        <v>424</v>
      </c>
      <c r="H143" t="s">
        <v>101</v>
      </c>
      <c r="I143" s="155">
        <v>597791.25</v>
      </c>
      <c r="J143" s="155">
        <v>788378.3</v>
      </c>
      <c r="K143" s="155">
        <f t="shared" si="6"/>
        <v>1051171.0666666667</v>
      </c>
      <c r="L143" s="155">
        <v>724500</v>
      </c>
      <c r="M143" s="233">
        <f>_xlfn.XLOOKUP(G143,'Master Budget'!$G$4:$G$360,'Master Budget'!$O$4:$O$360,0)</f>
        <v>850000</v>
      </c>
      <c r="N143" s="233">
        <f>_xlfn.XLOOKUP(G143,'Master Budget'!$G$4:$G$360,'Master Budget'!$P$4:$P$360,0)</f>
        <v>869914</v>
      </c>
    </row>
    <row r="144" spans="1:14" x14ac:dyDescent="0.25">
      <c r="A144">
        <v>145</v>
      </c>
      <c r="B144" t="s">
        <v>102</v>
      </c>
      <c r="C144" s="234">
        <v>22</v>
      </c>
      <c r="D144">
        <v>100</v>
      </c>
      <c r="E144" t="s">
        <v>9</v>
      </c>
      <c r="F144" t="str">
        <f t="shared" si="5"/>
        <v>100 - Salaries and Benefits</v>
      </c>
      <c r="G144" t="s">
        <v>425</v>
      </c>
      <c r="H144" t="s">
        <v>104</v>
      </c>
      <c r="I144" s="155">
        <v>53353.35</v>
      </c>
      <c r="J144" s="155">
        <v>60432.78</v>
      </c>
      <c r="K144" s="155">
        <f t="shared" si="6"/>
        <v>80577.039999999994</v>
      </c>
      <c r="L144" s="155">
        <v>50604.75</v>
      </c>
      <c r="M144" s="233">
        <f>_xlfn.XLOOKUP(G144,'Master Budget'!$G$4:$G$360,'Master Budget'!$O$4:$O$360,0)</f>
        <v>67000</v>
      </c>
      <c r="N144" s="233">
        <f>_xlfn.XLOOKUP(G144,'Master Budget'!$G$4:$G$360,'Master Budget'!$P$4:$P$360,0)</f>
        <v>66548.421000000002</v>
      </c>
    </row>
    <row r="145" spans="1:14" x14ac:dyDescent="0.25">
      <c r="A145">
        <v>146</v>
      </c>
      <c r="B145" t="s">
        <v>102</v>
      </c>
      <c r="C145" s="234">
        <v>22</v>
      </c>
      <c r="D145">
        <v>100</v>
      </c>
      <c r="E145" t="s">
        <v>9</v>
      </c>
      <c r="F145" t="str">
        <f t="shared" si="5"/>
        <v>100 - Salaries and Benefits</v>
      </c>
      <c r="G145" t="s">
        <v>426</v>
      </c>
      <c r="H145" t="s">
        <v>106</v>
      </c>
      <c r="I145" s="155">
        <v>39991.410000000003</v>
      </c>
      <c r="J145" s="155">
        <v>14799.69</v>
      </c>
      <c r="K145" s="155">
        <f t="shared" si="6"/>
        <v>19732.920000000002</v>
      </c>
      <c r="L145" s="155">
        <v>0</v>
      </c>
      <c r="M145" s="233">
        <f>_xlfn.XLOOKUP(G145,'Master Budget'!$G$4:$G$360,'Master Budget'!$O$4:$O$360,0)</f>
        <v>40000</v>
      </c>
      <c r="N145" s="233">
        <f>_xlfn.XLOOKUP(G145,'Master Budget'!$G$4:$G$360,'Master Budget'!$P$4:$P$360,0)</f>
        <v>169982.8</v>
      </c>
    </row>
    <row r="146" spans="1:14" x14ac:dyDescent="0.25">
      <c r="A146">
        <v>147</v>
      </c>
      <c r="B146" t="s">
        <v>102</v>
      </c>
      <c r="C146" s="234">
        <v>22</v>
      </c>
      <c r="D146">
        <v>100</v>
      </c>
      <c r="E146" t="s">
        <v>9</v>
      </c>
      <c r="F146" t="str">
        <f t="shared" si="5"/>
        <v>100 - Salaries and Benefits</v>
      </c>
      <c r="G146" t="s">
        <v>838</v>
      </c>
      <c r="H146" t="s">
        <v>108</v>
      </c>
      <c r="I146" s="155">
        <v>57367.55</v>
      </c>
      <c r="J146" s="155">
        <v>38183.620000000003</v>
      </c>
      <c r="K146" s="155">
        <f t="shared" si="6"/>
        <v>50911.493333333332</v>
      </c>
      <c r="L146" s="155"/>
      <c r="M146" s="233">
        <f>_xlfn.XLOOKUP(G146,'Master Budget'!$G$4:$G$360,'Master Budget'!$O$4:$O$360,0)</f>
        <v>60000</v>
      </c>
      <c r="N146" s="233">
        <f>_xlfn.XLOOKUP(G146,'Master Budget'!$G$4:$G$360,'Master Budget'!$P$4:$P$360,0)</f>
        <v>115322.08</v>
      </c>
    </row>
    <row r="147" spans="1:14" x14ac:dyDescent="0.25">
      <c r="A147">
        <v>148</v>
      </c>
      <c r="B147" t="s">
        <v>102</v>
      </c>
      <c r="C147" s="234">
        <v>22</v>
      </c>
      <c r="D147">
        <v>100</v>
      </c>
      <c r="E147" t="s">
        <v>9</v>
      </c>
      <c r="F147" t="str">
        <f t="shared" si="5"/>
        <v>100 - Salaries and Benefits</v>
      </c>
      <c r="G147" t="s">
        <v>427</v>
      </c>
      <c r="H147" t="s">
        <v>110</v>
      </c>
      <c r="I147" s="155">
        <v>9547.94</v>
      </c>
      <c r="J147" s="155">
        <v>1228.9000000000001</v>
      </c>
      <c r="K147" s="155">
        <f t="shared" si="6"/>
        <v>1638.5333333333333</v>
      </c>
      <c r="L147" s="155">
        <v>13230</v>
      </c>
      <c r="M147" s="233">
        <f>_xlfn.XLOOKUP(G147,'Master Budget'!$G$4:$G$360,'Master Budget'!$O$4:$O$360,0)</f>
        <v>0</v>
      </c>
      <c r="N147" s="233">
        <f>_xlfn.XLOOKUP(G147,'Master Budget'!$G$4:$G$360,'Master Budget'!$P$4:$P$360,0)</f>
        <v>17398.28</v>
      </c>
    </row>
    <row r="148" spans="1:14" x14ac:dyDescent="0.25">
      <c r="A148">
        <v>149</v>
      </c>
      <c r="B148" t="s">
        <v>102</v>
      </c>
      <c r="C148" s="234">
        <v>22</v>
      </c>
      <c r="D148">
        <v>100</v>
      </c>
      <c r="E148" t="s">
        <v>9</v>
      </c>
      <c r="F148" t="str">
        <f t="shared" si="5"/>
        <v>100 - Salaries and Benefits</v>
      </c>
      <c r="G148" t="s">
        <v>839</v>
      </c>
      <c r="H148" t="s">
        <v>112</v>
      </c>
      <c r="I148" s="155">
        <v>8696.1</v>
      </c>
      <c r="J148" s="155">
        <v>3451</v>
      </c>
      <c r="K148" s="155">
        <f t="shared" si="6"/>
        <v>4601.3333333333339</v>
      </c>
      <c r="L148" s="155"/>
      <c r="M148" s="233">
        <f>_xlfn.XLOOKUP(G148,'Master Budget'!$G$4:$G$360,'Master Budget'!$O$4:$O$360,0)</f>
        <v>0</v>
      </c>
      <c r="N148" s="233">
        <f>_xlfn.XLOOKUP(G148,'Master Budget'!$G$4:$G$360,'Master Budget'!$P$4:$P$360,0)</f>
        <v>0</v>
      </c>
    </row>
    <row r="149" spans="1:14" x14ac:dyDescent="0.25">
      <c r="A149">
        <v>150</v>
      </c>
      <c r="B149" t="s">
        <v>102</v>
      </c>
      <c r="C149" s="234">
        <v>22</v>
      </c>
      <c r="D149">
        <v>100</v>
      </c>
      <c r="E149" t="s">
        <v>9</v>
      </c>
      <c r="F149" t="str">
        <f t="shared" si="5"/>
        <v>100 - Salaries and Benefits</v>
      </c>
      <c r="G149" t="s">
        <v>840</v>
      </c>
      <c r="H149" t="s">
        <v>114</v>
      </c>
      <c r="I149" s="155">
        <v>0</v>
      </c>
      <c r="J149" s="155">
        <v>8.76</v>
      </c>
      <c r="K149" s="155">
        <f t="shared" si="6"/>
        <v>11.68</v>
      </c>
      <c r="L149" s="155"/>
      <c r="M149" s="233">
        <f>_xlfn.XLOOKUP(G149,'Master Budget'!$G$4:$G$360,'Master Budget'!$O$4:$O$360,0)</f>
        <v>18</v>
      </c>
      <c r="N149" s="233">
        <f>_xlfn.XLOOKUP(G149,'Master Budget'!$G$4:$G$360,'Master Budget'!$P$4:$P$360,0)</f>
        <v>0</v>
      </c>
    </row>
    <row r="150" spans="1:14" x14ac:dyDescent="0.25">
      <c r="A150">
        <v>151</v>
      </c>
      <c r="B150" t="s">
        <v>102</v>
      </c>
      <c r="C150" s="234">
        <v>22</v>
      </c>
      <c r="D150">
        <v>200</v>
      </c>
      <c r="E150" t="s">
        <v>10</v>
      </c>
      <c r="F150" t="str">
        <f t="shared" si="5"/>
        <v>200 - General and Administrative</v>
      </c>
      <c r="G150" t="s">
        <v>428</v>
      </c>
      <c r="H150" t="s">
        <v>1054</v>
      </c>
      <c r="I150" s="155">
        <v>9374.1200000000008</v>
      </c>
      <c r="J150" s="155">
        <v>33980.65</v>
      </c>
      <c r="K150" s="155">
        <f t="shared" si="6"/>
        <v>45307.533333333333</v>
      </c>
      <c r="L150" s="155">
        <v>25000</v>
      </c>
      <c r="M150" s="233">
        <f>_xlfn.XLOOKUP(G150,'Master Budget'!$G$4:$G$360,'Master Budget'!$O$4:$O$360,0)</f>
        <v>35000</v>
      </c>
      <c r="N150" s="233">
        <f>_xlfn.XLOOKUP(G150,'Master Budget'!$G$4:$G$360,'Master Budget'!$P$4:$P$360,0)</f>
        <v>35000</v>
      </c>
    </row>
    <row r="151" spans="1:14" x14ac:dyDescent="0.25">
      <c r="A151">
        <v>152</v>
      </c>
      <c r="B151" t="s">
        <v>102</v>
      </c>
      <c r="C151" s="234">
        <v>22</v>
      </c>
      <c r="D151">
        <v>200</v>
      </c>
      <c r="E151" t="s">
        <v>10</v>
      </c>
      <c r="F151" t="str">
        <f t="shared" si="5"/>
        <v>200 - General and Administrative</v>
      </c>
      <c r="G151" t="s">
        <v>429</v>
      </c>
      <c r="H151" t="s">
        <v>295</v>
      </c>
      <c r="I151" s="155">
        <v>12000</v>
      </c>
      <c r="J151" s="155">
        <v>0</v>
      </c>
      <c r="K151" s="155">
        <f t="shared" si="6"/>
        <v>0</v>
      </c>
      <c r="L151" s="155">
        <v>0</v>
      </c>
      <c r="M151" s="233">
        <f>_xlfn.XLOOKUP(G151,'Master Budget'!$G$4:$G$360,'Master Budget'!$O$4:$O$360,0)</f>
        <v>0</v>
      </c>
      <c r="N151" s="233">
        <f>_xlfn.XLOOKUP(G151,'Master Budget'!$G$4:$G$360,'Master Budget'!$P$4:$P$360,0)</f>
        <v>0</v>
      </c>
    </row>
    <row r="152" spans="1:14" x14ac:dyDescent="0.25">
      <c r="A152">
        <v>153</v>
      </c>
      <c r="B152" t="s">
        <v>102</v>
      </c>
      <c r="C152" s="234">
        <v>22</v>
      </c>
      <c r="D152">
        <v>200</v>
      </c>
      <c r="E152" t="s">
        <v>10</v>
      </c>
      <c r="F152" t="str">
        <f t="shared" si="5"/>
        <v>200 - General and Administrative</v>
      </c>
      <c r="G152" t="s">
        <v>430</v>
      </c>
      <c r="H152" t="s">
        <v>303</v>
      </c>
      <c r="I152" s="155">
        <v>0</v>
      </c>
      <c r="J152" s="155">
        <v>14047.76</v>
      </c>
      <c r="K152" s="155">
        <f t="shared" si="6"/>
        <v>18730.346666666668</v>
      </c>
      <c r="L152" s="155">
        <v>600</v>
      </c>
      <c r="M152" s="233">
        <f>_xlfn.XLOOKUP(G152,'Master Budget'!$G$4:$G$360,'Master Budget'!$O$4:$O$360,0)</f>
        <v>15000</v>
      </c>
      <c r="N152" s="233">
        <f>_xlfn.XLOOKUP(G152,'Master Budget'!$G$4:$G$360,'Master Budget'!$P$4:$P$360,0)</f>
        <v>15000</v>
      </c>
    </row>
    <row r="153" spans="1:14" x14ac:dyDescent="0.25">
      <c r="A153">
        <v>154</v>
      </c>
      <c r="B153" t="s">
        <v>102</v>
      </c>
      <c r="C153" s="234">
        <v>22</v>
      </c>
      <c r="D153">
        <v>500</v>
      </c>
      <c r="E153" t="s">
        <v>11</v>
      </c>
      <c r="F153" t="str">
        <f t="shared" si="5"/>
        <v>500 - Repairs and Maintenance</v>
      </c>
      <c r="G153" t="s">
        <v>431</v>
      </c>
      <c r="H153" t="s">
        <v>432</v>
      </c>
      <c r="I153" s="155">
        <v>7854.58</v>
      </c>
      <c r="J153" s="155">
        <v>973.69</v>
      </c>
      <c r="K153" s="155">
        <f t="shared" si="6"/>
        <v>1298.2533333333333</v>
      </c>
      <c r="L153" s="155">
        <v>25000</v>
      </c>
      <c r="M153" s="233">
        <f>_xlfn.XLOOKUP(G153,'Master Budget'!$G$4:$G$360,'Master Budget'!$O$4:$O$360,0)</f>
        <v>5000</v>
      </c>
      <c r="N153" s="233">
        <f>_xlfn.XLOOKUP(G153,'Master Budget'!$G$4:$G$360,'Master Budget'!$P$4:$P$360,0)</f>
        <v>5000</v>
      </c>
    </row>
    <row r="154" spans="1:14" x14ac:dyDescent="0.25">
      <c r="A154">
        <v>155</v>
      </c>
      <c r="B154" t="s">
        <v>102</v>
      </c>
      <c r="C154" s="234">
        <v>22</v>
      </c>
      <c r="D154">
        <v>500</v>
      </c>
      <c r="E154" t="s">
        <v>11</v>
      </c>
      <c r="F154" t="str">
        <f t="shared" si="5"/>
        <v>500 - Repairs and Maintenance</v>
      </c>
      <c r="G154" t="s">
        <v>433</v>
      </c>
      <c r="H154" t="s">
        <v>309</v>
      </c>
      <c r="I154" s="155">
        <v>59364.3</v>
      </c>
      <c r="J154" s="155">
        <v>31976.79</v>
      </c>
      <c r="K154" s="155">
        <f t="shared" si="6"/>
        <v>42635.72</v>
      </c>
      <c r="L154" s="155">
        <v>20000</v>
      </c>
      <c r="M154" s="233">
        <f>_xlfn.XLOOKUP(G154,'Master Budget'!$G$4:$G$360,'Master Budget'!$O$4:$O$360,0)</f>
        <v>40000</v>
      </c>
      <c r="N154" s="233">
        <f>_xlfn.XLOOKUP(G154,'Master Budget'!$G$4:$G$360,'Master Budget'!$P$4:$P$360,0)</f>
        <v>35000</v>
      </c>
    </row>
    <row r="155" spans="1:14" x14ac:dyDescent="0.25">
      <c r="A155">
        <v>156</v>
      </c>
      <c r="B155" t="s">
        <v>102</v>
      </c>
      <c r="C155" s="234">
        <v>22</v>
      </c>
      <c r="D155">
        <v>500</v>
      </c>
      <c r="E155" t="s">
        <v>11</v>
      </c>
      <c r="F155" t="str">
        <f t="shared" si="5"/>
        <v>500 - Repairs and Maintenance</v>
      </c>
      <c r="G155" t="s">
        <v>434</v>
      </c>
      <c r="H155" t="s">
        <v>311</v>
      </c>
      <c r="I155" s="155">
        <v>21786.48</v>
      </c>
      <c r="J155" s="155">
        <v>31774.42</v>
      </c>
      <c r="K155" s="155">
        <f t="shared" si="6"/>
        <v>42365.893333333333</v>
      </c>
      <c r="L155" s="155">
        <v>12000</v>
      </c>
      <c r="M155" s="233">
        <f>_xlfn.XLOOKUP(G155,'Master Budget'!$G$4:$G$360,'Master Budget'!$O$4:$O$360,0)</f>
        <v>12000</v>
      </c>
      <c r="N155" s="233">
        <f>_xlfn.XLOOKUP(G155,'Master Budget'!$G$4:$G$360,'Master Budget'!$P$4:$P$360,0)</f>
        <v>12000</v>
      </c>
    </row>
    <row r="156" spans="1:14" x14ac:dyDescent="0.25">
      <c r="A156">
        <v>157</v>
      </c>
      <c r="B156" t="s">
        <v>102</v>
      </c>
      <c r="C156" s="234">
        <v>22</v>
      </c>
      <c r="D156">
        <v>200</v>
      </c>
      <c r="E156" t="s">
        <v>10</v>
      </c>
      <c r="F156" t="str">
        <f t="shared" si="5"/>
        <v>200 - General and Administrative</v>
      </c>
      <c r="G156" t="s">
        <v>435</v>
      </c>
      <c r="H156" t="s">
        <v>1069</v>
      </c>
      <c r="I156" s="155">
        <v>131125.29999999999</v>
      </c>
      <c r="J156" s="155">
        <v>170952.8</v>
      </c>
      <c r="K156" s="155">
        <f t="shared" si="6"/>
        <v>227937.06666666665</v>
      </c>
      <c r="L156" s="155">
        <v>35000</v>
      </c>
      <c r="M156" s="233">
        <f>_xlfn.XLOOKUP(G156,'Master Budget'!$G$4:$G$360,'Master Budget'!$O$4:$O$360,0)</f>
        <v>160000</v>
      </c>
      <c r="N156" s="233">
        <f>_xlfn.XLOOKUP(G156,'Master Budget'!$G$4:$G$360,'Master Budget'!$P$4:$P$360,0)</f>
        <v>160000</v>
      </c>
    </row>
    <row r="157" spans="1:14" x14ac:dyDescent="0.25">
      <c r="A157">
        <v>158</v>
      </c>
      <c r="B157" t="s">
        <v>102</v>
      </c>
      <c r="C157" s="234">
        <v>22</v>
      </c>
      <c r="D157">
        <v>200</v>
      </c>
      <c r="E157" t="s">
        <v>10</v>
      </c>
      <c r="F157" t="str">
        <f t="shared" si="5"/>
        <v>200 - General and Administrative</v>
      </c>
      <c r="G157" t="s">
        <v>436</v>
      </c>
      <c r="H157" t="s">
        <v>331</v>
      </c>
      <c r="I157" s="155">
        <v>75</v>
      </c>
      <c r="J157" s="155">
        <v>1572.29</v>
      </c>
      <c r="K157" s="155">
        <f t="shared" si="6"/>
        <v>2096.3866666666668</v>
      </c>
      <c r="L157" s="155">
        <v>4000</v>
      </c>
      <c r="M157" s="233">
        <f>_xlfn.XLOOKUP(G157,'Master Budget'!$G$4:$G$360,'Master Budget'!$O$4:$O$360,0)</f>
        <v>2000</v>
      </c>
      <c r="N157" s="233">
        <f>_xlfn.XLOOKUP(G157,'Master Budget'!$G$4:$G$360,'Master Budget'!$P$4:$P$360,0)</f>
        <v>4000</v>
      </c>
    </row>
    <row r="158" spans="1:14" x14ac:dyDescent="0.25">
      <c r="A158">
        <v>159</v>
      </c>
      <c r="B158" t="s">
        <v>102</v>
      </c>
      <c r="C158" s="234">
        <v>22</v>
      </c>
      <c r="D158">
        <v>200</v>
      </c>
      <c r="E158" t="s">
        <v>10</v>
      </c>
      <c r="F158" t="str">
        <f t="shared" si="5"/>
        <v>200 - General and Administrative</v>
      </c>
      <c r="G158" t="s">
        <v>437</v>
      </c>
      <c r="H158" t="s">
        <v>438</v>
      </c>
      <c r="I158" s="155">
        <v>249.96</v>
      </c>
      <c r="J158" s="155">
        <v>0</v>
      </c>
      <c r="K158" s="155">
        <f t="shared" si="6"/>
        <v>0</v>
      </c>
      <c r="L158" s="155">
        <v>0</v>
      </c>
      <c r="M158" s="233">
        <f>_xlfn.XLOOKUP(G158,'Master Budget'!$G$4:$G$360,'Master Budget'!$O$4:$O$360,0)</f>
        <v>0</v>
      </c>
      <c r="N158" s="233">
        <f>_xlfn.XLOOKUP(G158,'Master Budget'!$G$4:$G$360,'Master Budget'!$P$4:$P$360,0)</f>
        <v>0</v>
      </c>
    </row>
    <row r="159" spans="1:14" x14ac:dyDescent="0.25">
      <c r="A159">
        <v>160</v>
      </c>
      <c r="B159" t="s">
        <v>102</v>
      </c>
      <c r="C159" s="234">
        <v>22</v>
      </c>
      <c r="D159">
        <v>700</v>
      </c>
      <c r="E159" t="s">
        <v>12</v>
      </c>
      <c r="F159" t="str">
        <f t="shared" si="5"/>
        <v>700 - Depreciation and Amortization</v>
      </c>
      <c r="G159" t="s">
        <v>439</v>
      </c>
      <c r="H159" t="s">
        <v>43</v>
      </c>
      <c r="I159" s="155">
        <v>51254.52</v>
      </c>
      <c r="J159" s="155">
        <v>21356.05</v>
      </c>
      <c r="K159" s="155">
        <f t="shared" si="6"/>
        <v>28474.73333333333</v>
      </c>
      <c r="L159" s="155">
        <v>0</v>
      </c>
      <c r="M159" s="233">
        <f>_xlfn.XLOOKUP(G159,'Master Budget'!$G$4:$G$360,'Master Budget'!$O$4:$O$360,0)</f>
        <v>0</v>
      </c>
      <c r="N159" s="233">
        <f>_xlfn.XLOOKUP(G159,'Master Budget'!$G$4:$G$360,'Master Budget'!$P$4:$P$360,0)</f>
        <v>0</v>
      </c>
    </row>
    <row r="160" spans="1:14" x14ac:dyDescent="0.25">
      <c r="A160">
        <v>161</v>
      </c>
      <c r="B160" t="s">
        <v>102</v>
      </c>
      <c r="C160" s="234">
        <v>22</v>
      </c>
      <c r="D160">
        <v>710</v>
      </c>
      <c r="E160" t="s">
        <v>1233</v>
      </c>
      <c r="F160" t="str">
        <f t="shared" si="5"/>
        <v>710 - capital Outlay</v>
      </c>
      <c r="G160" t="s">
        <v>440</v>
      </c>
      <c r="H160" t="s">
        <v>1234</v>
      </c>
      <c r="I160" s="155">
        <v>0</v>
      </c>
      <c r="J160" s="155">
        <v>341070.28</v>
      </c>
      <c r="K160" s="155">
        <f t="shared" si="6"/>
        <v>454760.37333333335</v>
      </c>
      <c r="L160" s="155">
        <v>515000</v>
      </c>
      <c r="M160" s="233">
        <f>_xlfn.XLOOKUP(G160,'Master Budget'!$G$4:$G$360,'Master Budget'!$O$4:$O$360,0)</f>
        <v>515000</v>
      </c>
      <c r="N160" s="233">
        <f>_xlfn.XLOOKUP(G160,'Master Budget'!$G$4:$G$360,'Master Budget'!$P$4:$P$360,0)</f>
        <v>0</v>
      </c>
    </row>
    <row r="161" spans="1:14" x14ac:dyDescent="0.25">
      <c r="A161">
        <v>162</v>
      </c>
      <c r="B161" t="s">
        <v>102</v>
      </c>
      <c r="C161" s="234">
        <v>22</v>
      </c>
      <c r="D161">
        <v>200</v>
      </c>
      <c r="E161" t="s">
        <v>10</v>
      </c>
      <c r="F161" t="str">
        <f t="shared" si="5"/>
        <v>200 - General and Administrative</v>
      </c>
      <c r="G161" t="s">
        <v>841</v>
      </c>
      <c r="H161" t="s">
        <v>348</v>
      </c>
      <c r="I161" s="155">
        <v>11963.83</v>
      </c>
      <c r="J161" s="155">
        <v>14605.19</v>
      </c>
      <c r="K161" s="155">
        <f t="shared" si="6"/>
        <v>19473.58666666667</v>
      </c>
      <c r="L161" s="155">
        <v>25000</v>
      </c>
      <c r="M161" s="233">
        <f>_xlfn.XLOOKUP(G161,'Master Budget'!$G$4:$G$360,'Master Budget'!$O$4:$O$360,0)</f>
        <v>0</v>
      </c>
      <c r="N161" s="233">
        <f>_xlfn.XLOOKUP(G161,'Master Budget'!$G$4:$G$360,'Master Budget'!$P$4:$P$360,0)</f>
        <v>0</v>
      </c>
    </row>
    <row r="162" spans="1:14" x14ac:dyDescent="0.25">
      <c r="A162">
        <v>163</v>
      </c>
      <c r="B162" t="s">
        <v>102</v>
      </c>
      <c r="C162" s="234">
        <v>22</v>
      </c>
      <c r="D162">
        <v>720</v>
      </c>
      <c r="E162" t="s">
        <v>883</v>
      </c>
      <c r="F162" t="str">
        <f t="shared" si="5"/>
        <v>720 - Gain/Loss on disposal</v>
      </c>
      <c r="G162" t="s">
        <v>442</v>
      </c>
      <c r="H162" t="s">
        <v>164</v>
      </c>
      <c r="I162" s="155">
        <v>0</v>
      </c>
      <c r="J162" s="155">
        <v>0</v>
      </c>
      <c r="K162" s="155">
        <f t="shared" si="6"/>
        <v>0</v>
      </c>
      <c r="L162" s="155">
        <v>0</v>
      </c>
      <c r="M162" s="233">
        <f>_xlfn.XLOOKUP(G162,'Master Budget'!$G$4:$G$360,'Master Budget'!$O$4:$O$360,0)</f>
        <v>0</v>
      </c>
      <c r="N162" s="233">
        <f>_xlfn.XLOOKUP(G162,'Master Budget'!$G$4:$G$360,'Master Budget'!$P$4:$P$360,0)</f>
        <v>0</v>
      </c>
    </row>
    <row r="163" spans="1:14" x14ac:dyDescent="0.25">
      <c r="A163">
        <v>164</v>
      </c>
      <c r="B163" t="s">
        <v>50</v>
      </c>
      <c r="C163" s="234">
        <v>51</v>
      </c>
      <c r="D163">
        <v>10000</v>
      </c>
      <c r="E163" t="s">
        <v>1029</v>
      </c>
      <c r="F163" t="str">
        <f t="shared" si="5"/>
        <v>10000 - Cash and Cash Equivalents</v>
      </c>
      <c r="G163" t="s">
        <v>510</v>
      </c>
      <c r="H163" t="s">
        <v>49</v>
      </c>
      <c r="I163" s="155">
        <v>1671392.5</v>
      </c>
      <c r="J163" s="155">
        <v>1598634.14</v>
      </c>
      <c r="K163" s="155"/>
      <c r="L163" s="155">
        <v>0</v>
      </c>
      <c r="M163" s="233">
        <f>_xlfn.XLOOKUP(G163,'Master Budget'!$G$4:$G$360,'Master Budget'!$O$4:$O$360,0)</f>
        <v>0</v>
      </c>
      <c r="N163" s="233">
        <f>_xlfn.XLOOKUP(G163,'Master Budget'!$G$4:$G$360,'Master Budget'!$P$4:$P$360,0)</f>
        <v>0</v>
      </c>
    </row>
    <row r="164" spans="1:14" x14ac:dyDescent="0.25">
      <c r="A164">
        <v>165</v>
      </c>
      <c r="B164" t="s">
        <v>50</v>
      </c>
      <c r="C164" s="234">
        <v>51</v>
      </c>
      <c r="D164">
        <v>16200</v>
      </c>
      <c r="E164" t="s">
        <v>1074</v>
      </c>
      <c r="F164" t="str">
        <f t="shared" si="5"/>
        <v>16200 - Noncurrent restricted cash and investments</v>
      </c>
      <c r="G164" t="s">
        <v>1071</v>
      </c>
      <c r="H164" t="s">
        <v>1031</v>
      </c>
      <c r="I164" s="155">
        <v>0</v>
      </c>
      <c r="J164" s="155">
        <v>0</v>
      </c>
      <c r="K164" s="155"/>
      <c r="L164" s="155">
        <v>0</v>
      </c>
      <c r="M164" s="233">
        <f>_xlfn.XLOOKUP(G164,'Master Budget'!$G$4:$G$360,'Master Budget'!$O$4:$O$360,0)</f>
        <v>0</v>
      </c>
      <c r="N164" s="233">
        <f>_xlfn.XLOOKUP(G164,'Master Budget'!$G$4:$G$360,'Master Budget'!$P$4:$P$360,0)</f>
        <v>0</v>
      </c>
    </row>
    <row r="165" spans="1:14" x14ac:dyDescent="0.25">
      <c r="A165">
        <v>166</v>
      </c>
      <c r="B165" t="s">
        <v>50</v>
      </c>
      <c r="C165" s="234">
        <v>51</v>
      </c>
      <c r="D165">
        <v>10000</v>
      </c>
      <c r="E165" t="s">
        <v>1029</v>
      </c>
      <c r="F165" t="str">
        <f t="shared" si="5"/>
        <v>10000 - Cash and Cash Equivalents</v>
      </c>
      <c r="G165" t="s">
        <v>511</v>
      </c>
      <c r="H165" t="s">
        <v>512</v>
      </c>
      <c r="I165" s="155">
        <v>290201.3</v>
      </c>
      <c r="J165" s="155">
        <v>304069.86</v>
      </c>
      <c r="K165" s="155"/>
      <c r="L165" s="155">
        <v>0</v>
      </c>
      <c r="M165" s="233">
        <f>_xlfn.XLOOKUP(G165,'Master Budget'!$G$4:$G$360,'Master Budget'!$O$4:$O$360,0)</f>
        <v>0</v>
      </c>
      <c r="N165" s="233">
        <f>_xlfn.XLOOKUP(G165,'Master Budget'!$G$4:$G$360,'Master Budget'!$P$4:$P$360,0)</f>
        <v>0</v>
      </c>
    </row>
    <row r="166" spans="1:14" x14ac:dyDescent="0.25">
      <c r="A166">
        <v>167</v>
      </c>
      <c r="B166" t="s">
        <v>50</v>
      </c>
      <c r="C166" s="234">
        <v>51</v>
      </c>
      <c r="D166">
        <v>16200</v>
      </c>
      <c r="E166" t="s">
        <v>1074</v>
      </c>
      <c r="F166" t="str">
        <f t="shared" si="5"/>
        <v>16200 - Noncurrent restricted cash and investments</v>
      </c>
      <c r="G166" t="s">
        <v>513</v>
      </c>
      <c r="H166" t="s">
        <v>1072</v>
      </c>
      <c r="I166" s="155">
        <v>2044.33</v>
      </c>
      <c r="J166" s="155">
        <v>149986.16</v>
      </c>
      <c r="K166" s="155"/>
      <c r="L166" s="155">
        <v>0</v>
      </c>
      <c r="M166" s="233">
        <f>_xlfn.XLOOKUP(G166,'Master Budget'!$G$4:$G$360,'Master Budget'!$O$4:$O$360,0)</f>
        <v>0</v>
      </c>
      <c r="N166" s="233">
        <f>_xlfn.XLOOKUP(G166,'Master Budget'!$G$4:$G$360,'Master Budget'!$P$4:$P$360,0)</f>
        <v>0</v>
      </c>
    </row>
    <row r="167" spans="1:14" x14ac:dyDescent="0.25">
      <c r="A167">
        <v>168</v>
      </c>
      <c r="B167" t="s">
        <v>50</v>
      </c>
      <c r="C167" s="234">
        <v>51</v>
      </c>
      <c r="D167">
        <v>16200</v>
      </c>
      <c r="E167" t="s">
        <v>1074</v>
      </c>
      <c r="F167" t="str">
        <f t="shared" si="5"/>
        <v>16200 - Noncurrent restricted cash and investments</v>
      </c>
      <c r="G167" t="s">
        <v>515</v>
      </c>
      <c r="H167" t="s">
        <v>1073</v>
      </c>
      <c r="I167" s="155">
        <v>87967.42</v>
      </c>
      <c r="J167" s="155">
        <v>87967.42</v>
      </c>
      <c r="K167" s="155"/>
      <c r="L167" s="155">
        <v>0</v>
      </c>
      <c r="M167" s="233">
        <f>_xlfn.XLOOKUP(G167,'Master Budget'!$G$4:$G$360,'Master Budget'!$O$4:$O$360,0)</f>
        <v>0</v>
      </c>
      <c r="N167" s="233">
        <f>_xlfn.XLOOKUP(G167,'Master Budget'!$G$4:$G$360,'Master Budget'!$P$4:$P$360,0)</f>
        <v>0</v>
      </c>
    </row>
    <row r="168" spans="1:14" x14ac:dyDescent="0.25">
      <c r="A168">
        <v>169</v>
      </c>
      <c r="B168" t="s">
        <v>50</v>
      </c>
      <c r="C168" s="234">
        <v>51</v>
      </c>
      <c r="D168">
        <v>16200</v>
      </c>
      <c r="E168" t="s">
        <v>1074</v>
      </c>
      <c r="F168" t="str">
        <f t="shared" si="5"/>
        <v>16200 - Noncurrent restricted cash and investments</v>
      </c>
      <c r="G168" t="s">
        <v>517</v>
      </c>
      <c r="H168" t="s">
        <v>1075</v>
      </c>
      <c r="I168" s="155">
        <v>0</v>
      </c>
      <c r="J168" s="155">
        <v>0</v>
      </c>
      <c r="K168" s="155"/>
      <c r="L168" s="155">
        <v>0</v>
      </c>
      <c r="M168" s="233">
        <f>_xlfn.XLOOKUP(G168,'Master Budget'!$G$4:$G$360,'Master Budget'!$O$4:$O$360,0)</f>
        <v>0</v>
      </c>
      <c r="N168" s="233">
        <f>_xlfn.XLOOKUP(G168,'Master Budget'!$G$4:$G$360,'Master Budget'!$P$4:$P$360,0)</f>
        <v>0</v>
      </c>
    </row>
    <row r="169" spans="1:14" x14ac:dyDescent="0.25">
      <c r="A169">
        <v>170</v>
      </c>
      <c r="B169" t="s">
        <v>50</v>
      </c>
      <c r="C169" s="234">
        <v>51</v>
      </c>
      <c r="D169">
        <v>16200</v>
      </c>
      <c r="E169" t="s">
        <v>1074</v>
      </c>
      <c r="F169" t="str">
        <f t="shared" si="5"/>
        <v>16200 - Noncurrent restricted cash and investments</v>
      </c>
      <c r="G169" t="s">
        <v>519</v>
      </c>
      <c r="H169" t="s">
        <v>520</v>
      </c>
      <c r="I169" s="155">
        <v>486764.65</v>
      </c>
      <c r="J169" s="155">
        <v>0</v>
      </c>
      <c r="K169" s="155"/>
      <c r="L169" s="155">
        <v>0</v>
      </c>
      <c r="M169" s="233">
        <f>_xlfn.XLOOKUP(G169,'Master Budget'!$G$4:$G$360,'Master Budget'!$O$4:$O$360,0)</f>
        <v>0</v>
      </c>
      <c r="N169" s="233">
        <f>_xlfn.XLOOKUP(G169,'Master Budget'!$G$4:$G$360,'Master Budget'!$P$4:$P$360,0)</f>
        <v>0</v>
      </c>
    </row>
    <row r="170" spans="1:14" x14ac:dyDescent="0.25">
      <c r="A170">
        <v>171</v>
      </c>
      <c r="B170" t="s">
        <v>50</v>
      </c>
      <c r="C170" s="234">
        <v>51</v>
      </c>
      <c r="D170">
        <v>16200</v>
      </c>
      <c r="E170" t="s">
        <v>1074</v>
      </c>
      <c r="F170" t="str">
        <f t="shared" si="5"/>
        <v>16200 - Noncurrent restricted cash and investments</v>
      </c>
      <c r="G170" t="s">
        <v>521</v>
      </c>
      <c r="H170" t="s">
        <v>522</v>
      </c>
      <c r="I170" s="155">
        <v>412180.6</v>
      </c>
      <c r="J170" s="155">
        <v>43155.29</v>
      </c>
      <c r="K170" s="155"/>
      <c r="L170" s="155">
        <v>0</v>
      </c>
      <c r="M170" s="233">
        <f>_xlfn.XLOOKUP(G170,'Master Budget'!$G$4:$G$360,'Master Budget'!$O$4:$O$360,0)</f>
        <v>0</v>
      </c>
      <c r="N170" s="233">
        <f>_xlfn.XLOOKUP(G170,'Master Budget'!$G$4:$G$360,'Master Budget'!$P$4:$P$360,0)</f>
        <v>0</v>
      </c>
    </row>
    <row r="171" spans="1:14" x14ac:dyDescent="0.25">
      <c r="A171">
        <v>172</v>
      </c>
      <c r="B171" t="s">
        <v>50</v>
      </c>
      <c r="C171" s="234">
        <v>51</v>
      </c>
      <c r="D171">
        <v>11500</v>
      </c>
      <c r="E171" t="s">
        <v>54</v>
      </c>
      <c r="F171" t="str">
        <f t="shared" si="5"/>
        <v>11500 - Accounts Receivable</v>
      </c>
      <c r="G171" t="s">
        <v>523</v>
      </c>
      <c r="H171" t="s">
        <v>54</v>
      </c>
      <c r="I171" s="155">
        <v>119986.41</v>
      </c>
      <c r="J171" s="155">
        <v>139720.32999999999</v>
      </c>
      <c r="K171" s="155"/>
      <c r="L171" s="155">
        <v>0</v>
      </c>
      <c r="M171" s="233">
        <f>_xlfn.XLOOKUP(G171,'Master Budget'!$G$4:$G$360,'Master Budget'!$O$4:$O$360,0)</f>
        <v>0</v>
      </c>
      <c r="N171" s="233">
        <f>_xlfn.XLOOKUP(G171,'Master Budget'!$G$4:$G$360,'Master Budget'!$P$4:$P$360,0)</f>
        <v>0</v>
      </c>
    </row>
    <row r="172" spans="1:14" x14ac:dyDescent="0.25">
      <c r="A172">
        <v>173</v>
      </c>
      <c r="B172" t="s">
        <v>50</v>
      </c>
      <c r="C172" s="234">
        <v>51</v>
      </c>
      <c r="D172">
        <v>11510</v>
      </c>
      <c r="E172" t="s">
        <v>177</v>
      </c>
      <c r="F172" t="str">
        <f t="shared" si="5"/>
        <v>11510 - Property Tax Receivable</v>
      </c>
      <c r="G172" t="s">
        <v>524</v>
      </c>
      <c r="H172" t="s">
        <v>177</v>
      </c>
      <c r="I172" s="155">
        <v>37001.800000000003</v>
      </c>
      <c r="J172" s="155">
        <v>13195.08</v>
      </c>
      <c r="K172" s="155"/>
      <c r="L172" s="155">
        <v>0</v>
      </c>
      <c r="M172" s="233">
        <f>_xlfn.XLOOKUP(G172,'Master Budget'!$G$4:$G$360,'Master Budget'!$O$4:$O$360,0)</f>
        <v>0</v>
      </c>
      <c r="N172" s="233">
        <f>_xlfn.XLOOKUP(G172,'Master Budget'!$G$4:$G$360,'Master Budget'!$P$4:$P$360,0)</f>
        <v>0</v>
      </c>
    </row>
    <row r="173" spans="1:14" x14ac:dyDescent="0.25">
      <c r="A173">
        <v>175</v>
      </c>
      <c r="B173" t="s">
        <v>50</v>
      </c>
      <c r="C173" s="234">
        <v>51</v>
      </c>
      <c r="D173">
        <v>11500</v>
      </c>
      <c r="E173" t="s">
        <v>54</v>
      </c>
      <c r="F173" t="str">
        <f t="shared" si="5"/>
        <v>11500 - Accounts Receivable</v>
      </c>
      <c r="G173" t="s">
        <v>528</v>
      </c>
      <c r="H173" t="s">
        <v>179</v>
      </c>
      <c r="I173" s="155">
        <v>-18000</v>
      </c>
      <c r="J173" s="155">
        <v>-18000</v>
      </c>
      <c r="K173" s="155"/>
      <c r="L173" s="155">
        <v>0</v>
      </c>
      <c r="M173" s="233">
        <f>_xlfn.XLOOKUP(G173,'Master Budget'!$G$4:$G$360,'Master Budget'!$O$4:$O$360,0)</f>
        <v>0</v>
      </c>
      <c r="N173" s="233">
        <f>_xlfn.XLOOKUP(G173,'Master Budget'!$G$4:$G$360,'Master Budget'!$P$4:$P$360,0)</f>
        <v>0</v>
      </c>
    </row>
    <row r="174" spans="1:14" x14ac:dyDescent="0.25">
      <c r="A174">
        <v>176</v>
      </c>
      <c r="B174" t="s">
        <v>50</v>
      </c>
      <c r="C174" s="234">
        <v>51</v>
      </c>
      <c r="D174">
        <v>11570</v>
      </c>
      <c r="E174" t="s">
        <v>1076</v>
      </c>
      <c r="F174" t="str">
        <f t="shared" si="5"/>
        <v>11570 - Allowance for Uncollectible Accounts Receivable</v>
      </c>
      <c r="G174" t="s">
        <v>530</v>
      </c>
      <c r="H174" t="s">
        <v>531</v>
      </c>
      <c r="I174" s="155">
        <v>0</v>
      </c>
      <c r="J174" s="155">
        <v>0</v>
      </c>
      <c r="K174" s="155"/>
      <c r="L174" s="155">
        <v>0</v>
      </c>
      <c r="M174" s="233">
        <f>_xlfn.XLOOKUP(G174,'Master Budget'!$G$4:$G$360,'Master Budget'!$O$4:$O$360,0)</f>
        <v>0</v>
      </c>
      <c r="N174" s="233">
        <f>_xlfn.XLOOKUP(G174,'Master Budget'!$G$4:$G$360,'Master Budget'!$P$4:$P$360,0)</f>
        <v>0</v>
      </c>
    </row>
    <row r="175" spans="1:14" x14ac:dyDescent="0.25">
      <c r="A175">
        <v>177</v>
      </c>
      <c r="B175" t="s">
        <v>50</v>
      </c>
      <c r="C175" s="234">
        <v>51</v>
      </c>
      <c r="D175">
        <v>14300</v>
      </c>
      <c r="E175" t="s">
        <v>56</v>
      </c>
      <c r="F175" t="str">
        <f t="shared" si="5"/>
        <v>14300 - Prepaid Expenses</v>
      </c>
      <c r="G175" t="s">
        <v>532</v>
      </c>
      <c r="H175" t="s">
        <v>56</v>
      </c>
      <c r="I175" s="155">
        <v>0</v>
      </c>
      <c r="J175" s="155">
        <v>0</v>
      </c>
      <c r="K175" s="155"/>
      <c r="L175" s="155">
        <v>0</v>
      </c>
      <c r="M175" s="233">
        <f>_xlfn.XLOOKUP(G175,'Master Budget'!$G$4:$G$360,'Master Budget'!$O$4:$O$360,0)</f>
        <v>0</v>
      </c>
      <c r="N175" s="233">
        <f>_xlfn.XLOOKUP(G175,'Master Budget'!$G$4:$G$360,'Master Budget'!$P$4:$P$360,0)</f>
        <v>0</v>
      </c>
    </row>
    <row r="176" spans="1:14" x14ac:dyDescent="0.25">
      <c r="A176">
        <v>178</v>
      </c>
      <c r="B176" t="s">
        <v>50</v>
      </c>
      <c r="C176" s="234">
        <v>51</v>
      </c>
      <c r="D176">
        <v>16320</v>
      </c>
      <c r="E176" t="s">
        <v>796</v>
      </c>
      <c r="F176" t="str">
        <f t="shared" si="5"/>
        <v>16320 - Equipment</v>
      </c>
      <c r="G176" t="s">
        <v>534</v>
      </c>
      <c r="H176" t="s">
        <v>535</v>
      </c>
      <c r="I176" s="155">
        <v>170814.34</v>
      </c>
      <c r="J176" s="155">
        <v>170814.34</v>
      </c>
      <c r="K176" s="155"/>
      <c r="L176" s="155">
        <v>0</v>
      </c>
      <c r="M176" s="233">
        <f>_xlfn.XLOOKUP(G176,'Master Budget'!$G$4:$G$360,'Master Budget'!$O$4:$O$360,0)</f>
        <v>0</v>
      </c>
      <c r="N176" s="233">
        <f>_xlfn.XLOOKUP(G176,'Master Budget'!$G$4:$G$360,'Master Budget'!$P$4:$P$360,0)</f>
        <v>0</v>
      </c>
    </row>
    <row r="177" spans="1:14" x14ac:dyDescent="0.25">
      <c r="A177">
        <v>179</v>
      </c>
      <c r="B177" t="s">
        <v>50</v>
      </c>
      <c r="C177" s="234">
        <v>51</v>
      </c>
      <c r="D177">
        <v>16300</v>
      </c>
      <c r="E177" t="s">
        <v>1010</v>
      </c>
      <c r="F177" t="str">
        <f t="shared" si="5"/>
        <v>16300 - Water Shares</v>
      </c>
      <c r="G177" t="s">
        <v>536</v>
      </c>
      <c r="H177" t="s">
        <v>537</v>
      </c>
      <c r="I177" s="155">
        <v>437671</v>
      </c>
      <c r="J177" s="155">
        <v>437671</v>
      </c>
      <c r="K177" s="155"/>
      <c r="L177" s="155">
        <v>0</v>
      </c>
      <c r="M177" s="233">
        <f>_xlfn.XLOOKUP(G177,'Master Budget'!$G$4:$G$360,'Master Budget'!$O$4:$O$360,0)</f>
        <v>0</v>
      </c>
      <c r="N177" s="233">
        <f>_xlfn.XLOOKUP(G177,'Master Budget'!$G$4:$G$360,'Master Budget'!$P$4:$P$360,0)</f>
        <v>0</v>
      </c>
    </row>
    <row r="178" spans="1:14" x14ac:dyDescent="0.25">
      <c r="A178">
        <v>180</v>
      </c>
      <c r="B178" t="s">
        <v>50</v>
      </c>
      <c r="C178" s="234">
        <v>51</v>
      </c>
      <c r="D178">
        <v>16310</v>
      </c>
      <c r="E178" t="s">
        <v>539</v>
      </c>
      <c r="F178" t="str">
        <f t="shared" si="5"/>
        <v>16310 - Water System</v>
      </c>
      <c r="G178" t="s">
        <v>538</v>
      </c>
      <c r="H178" t="s">
        <v>539</v>
      </c>
      <c r="I178" s="155">
        <v>1734755.88</v>
      </c>
      <c r="J178" s="155">
        <v>1734755.88</v>
      </c>
      <c r="K178" s="155"/>
      <c r="L178" s="155">
        <v>0</v>
      </c>
      <c r="M178" s="233">
        <f>_xlfn.XLOOKUP(G178,'Master Budget'!$G$4:$G$360,'Master Budget'!$O$4:$O$360,0)</f>
        <v>0</v>
      </c>
      <c r="N178" s="233">
        <f>_xlfn.XLOOKUP(G178,'Master Budget'!$G$4:$G$360,'Master Budget'!$P$4:$P$360,0)</f>
        <v>0</v>
      </c>
    </row>
    <row r="179" spans="1:14" x14ac:dyDescent="0.25">
      <c r="A179">
        <v>181</v>
      </c>
      <c r="B179" t="s">
        <v>50</v>
      </c>
      <c r="C179" s="234">
        <v>51</v>
      </c>
      <c r="D179">
        <v>16310</v>
      </c>
      <c r="E179" t="s">
        <v>539</v>
      </c>
      <c r="F179" t="str">
        <f t="shared" si="5"/>
        <v>16310 - Water System</v>
      </c>
      <c r="G179" t="s">
        <v>540</v>
      </c>
      <c r="H179" t="s">
        <v>541</v>
      </c>
      <c r="I179" s="155">
        <v>3039136.71</v>
      </c>
      <c r="J179" s="155">
        <v>3039136.71</v>
      </c>
      <c r="K179" s="155"/>
      <c r="L179" s="155">
        <v>0</v>
      </c>
      <c r="M179" s="233">
        <f>_xlfn.XLOOKUP(G179,'Master Budget'!$G$4:$G$360,'Master Budget'!$O$4:$O$360,0)</f>
        <v>0</v>
      </c>
      <c r="N179" s="233">
        <f>_xlfn.XLOOKUP(G179,'Master Budget'!$G$4:$G$360,'Master Budget'!$P$4:$P$360,0)</f>
        <v>0</v>
      </c>
    </row>
    <row r="180" spans="1:14" x14ac:dyDescent="0.25">
      <c r="A180">
        <v>182</v>
      </c>
      <c r="B180" t="s">
        <v>50</v>
      </c>
      <c r="C180" s="234">
        <v>51</v>
      </c>
      <c r="D180">
        <v>16320</v>
      </c>
      <c r="E180" t="s">
        <v>796</v>
      </c>
      <c r="F180" t="str">
        <f t="shared" si="5"/>
        <v>16320 - Equipment</v>
      </c>
      <c r="G180" t="s">
        <v>542</v>
      </c>
      <c r="H180" t="s">
        <v>543</v>
      </c>
      <c r="I180" s="155">
        <v>62293</v>
      </c>
      <c r="J180" s="155">
        <v>62293</v>
      </c>
      <c r="K180" s="155"/>
      <c r="L180" s="155">
        <v>0</v>
      </c>
      <c r="M180" s="233">
        <f>_xlfn.XLOOKUP(G180,'Master Budget'!$G$4:$G$360,'Master Budget'!$O$4:$O$360,0)</f>
        <v>0</v>
      </c>
      <c r="N180" s="233">
        <f>_xlfn.XLOOKUP(G180,'Master Budget'!$G$4:$G$360,'Master Budget'!$P$4:$P$360,0)</f>
        <v>0</v>
      </c>
    </row>
    <row r="181" spans="1:14" x14ac:dyDescent="0.25">
      <c r="A181">
        <v>183</v>
      </c>
      <c r="B181" t="s">
        <v>50</v>
      </c>
      <c r="C181" s="234">
        <v>51</v>
      </c>
      <c r="D181">
        <v>16500</v>
      </c>
      <c r="E181" t="s">
        <v>1033</v>
      </c>
      <c r="F181" t="str">
        <f t="shared" si="5"/>
        <v>16500 - Right to use assets</v>
      </c>
      <c r="G181" t="s">
        <v>544</v>
      </c>
      <c r="H181" t="s">
        <v>1035</v>
      </c>
      <c r="I181" s="155">
        <v>0</v>
      </c>
      <c r="J181" s="155">
        <v>0</v>
      </c>
      <c r="K181" s="155"/>
      <c r="L181" s="155">
        <v>0</v>
      </c>
      <c r="M181" s="233">
        <f>_xlfn.XLOOKUP(G181,'Master Budget'!$G$4:$G$360,'Master Budget'!$O$4:$O$360,0)</f>
        <v>0</v>
      </c>
      <c r="N181" s="233">
        <f>_xlfn.XLOOKUP(G181,'Master Budget'!$G$4:$G$360,'Master Budget'!$P$4:$P$360,0)</f>
        <v>0</v>
      </c>
    </row>
    <row r="182" spans="1:14" x14ac:dyDescent="0.25">
      <c r="A182">
        <v>184</v>
      </c>
      <c r="B182" t="s">
        <v>50</v>
      </c>
      <c r="C182" s="234">
        <v>51</v>
      </c>
      <c r="D182">
        <v>16600</v>
      </c>
      <c r="E182" t="s">
        <v>547</v>
      </c>
      <c r="F182" t="str">
        <f t="shared" si="5"/>
        <v>16600 - Construction In Progress</v>
      </c>
      <c r="G182" t="s">
        <v>546</v>
      </c>
      <c r="H182" t="s">
        <v>547</v>
      </c>
      <c r="I182" s="155">
        <v>3126593.35</v>
      </c>
      <c r="J182" s="155">
        <v>3126593.35</v>
      </c>
      <c r="K182" s="155"/>
      <c r="L182" s="155">
        <v>0</v>
      </c>
      <c r="M182" s="233">
        <f>_xlfn.XLOOKUP(G182,'Master Budget'!$G$4:$G$360,'Master Budget'!$O$4:$O$360,0)</f>
        <v>0</v>
      </c>
      <c r="N182" s="233">
        <f>_xlfn.XLOOKUP(G182,'Master Budget'!$G$4:$G$360,'Master Budget'!$P$4:$P$360,0)</f>
        <v>0</v>
      </c>
    </row>
    <row r="183" spans="1:14" x14ac:dyDescent="0.25">
      <c r="A183">
        <v>185</v>
      </c>
      <c r="B183" t="s">
        <v>50</v>
      </c>
      <c r="C183" s="234">
        <v>51</v>
      </c>
      <c r="D183">
        <v>16900</v>
      </c>
      <c r="E183" t="s">
        <v>198</v>
      </c>
      <c r="F183" t="str">
        <f t="shared" si="5"/>
        <v>16900 - Accumulated Depreciation</v>
      </c>
      <c r="G183" t="s">
        <v>548</v>
      </c>
      <c r="H183" t="s">
        <v>198</v>
      </c>
      <c r="I183" s="155">
        <v>-1776505.8</v>
      </c>
      <c r="J183" s="155">
        <v>-1832663.5</v>
      </c>
      <c r="K183" s="155"/>
      <c r="L183" s="155">
        <v>0</v>
      </c>
      <c r="M183" s="233">
        <f>_xlfn.XLOOKUP(G183,'Master Budget'!$G$4:$G$360,'Master Budget'!$O$4:$O$360,0)</f>
        <v>0</v>
      </c>
      <c r="N183" s="233">
        <f>_xlfn.XLOOKUP(G183,'Master Budget'!$G$4:$G$360,'Master Budget'!$P$4:$P$360,0)</f>
        <v>0</v>
      </c>
    </row>
    <row r="184" spans="1:14" x14ac:dyDescent="0.25">
      <c r="A184">
        <v>186</v>
      </c>
      <c r="B184" t="s">
        <v>50</v>
      </c>
      <c r="C184" s="234">
        <v>51</v>
      </c>
      <c r="D184">
        <v>17000</v>
      </c>
      <c r="E184" t="s">
        <v>64</v>
      </c>
      <c r="F184" t="str">
        <f t="shared" si="5"/>
        <v>17000 - Net Pension Asset</v>
      </c>
      <c r="G184" t="s">
        <v>1188</v>
      </c>
      <c r="H184" t="s">
        <v>64</v>
      </c>
      <c r="I184" s="155">
        <v>0</v>
      </c>
      <c r="J184" s="155">
        <v>0</v>
      </c>
      <c r="K184" s="155"/>
      <c r="L184" s="155"/>
      <c r="M184" s="233">
        <f>_xlfn.XLOOKUP(G184,'Master Budget'!$G$4:$G$360,'Master Budget'!$O$4:$O$360,0)</f>
        <v>0</v>
      </c>
      <c r="N184" s="233">
        <f>_xlfn.XLOOKUP(G184,'Master Budget'!$G$4:$G$360,'Master Budget'!$P$4:$P$360,0)</f>
        <v>0</v>
      </c>
    </row>
    <row r="185" spans="1:14" x14ac:dyDescent="0.25">
      <c r="A185">
        <v>187</v>
      </c>
      <c r="B185" t="s">
        <v>50</v>
      </c>
      <c r="C185" s="234">
        <v>51</v>
      </c>
      <c r="D185">
        <v>17010</v>
      </c>
      <c r="E185" t="s">
        <v>66</v>
      </c>
      <c r="F185" t="str">
        <f t="shared" si="5"/>
        <v>17010 - Deferred Outflows - Pensions</v>
      </c>
      <c r="G185" t="s">
        <v>842</v>
      </c>
      <c r="H185" t="s">
        <v>201</v>
      </c>
      <c r="I185" s="155">
        <v>35133</v>
      </c>
      <c r="J185" s="155">
        <v>35133</v>
      </c>
      <c r="K185" s="155"/>
      <c r="L185" s="155"/>
      <c r="M185" s="233">
        <f>_xlfn.XLOOKUP(G185,'Master Budget'!$G$4:$G$360,'Master Budget'!$O$4:$O$360,0)</f>
        <v>0</v>
      </c>
      <c r="N185" s="233">
        <f>_xlfn.XLOOKUP(G185,'Master Budget'!$G$4:$G$360,'Master Budget'!$P$4:$P$360,0)</f>
        <v>0</v>
      </c>
    </row>
    <row r="186" spans="1:14" x14ac:dyDescent="0.25">
      <c r="A186">
        <v>188</v>
      </c>
      <c r="B186" t="s">
        <v>71</v>
      </c>
      <c r="C186" s="234">
        <v>51</v>
      </c>
      <c r="D186">
        <v>21100</v>
      </c>
      <c r="E186" t="s">
        <v>70</v>
      </c>
      <c r="F186" t="str">
        <f t="shared" si="5"/>
        <v>21100 - Accounts Payable</v>
      </c>
      <c r="G186" t="s">
        <v>549</v>
      </c>
      <c r="H186" t="s">
        <v>70</v>
      </c>
      <c r="I186" s="155">
        <v>-489463.06</v>
      </c>
      <c r="J186" s="155">
        <v>-64848.51</v>
      </c>
      <c r="K186" s="155"/>
      <c r="L186" s="155">
        <v>0</v>
      </c>
      <c r="M186" s="233">
        <f>_xlfn.XLOOKUP(G186,'Master Budget'!$G$4:$G$360,'Master Budget'!$O$4:$O$360,0)</f>
        <v>0</v>
      </c>
      <c r="N186" s="233">
        <f>_xlfn.XLOOKUP(G186,'Master Budget'!$G$4:$G$360,'Master Budget'!$P$4:$P$360,0)</f>
        <v>0</v>
      </c>
    </row>
    <row r="187" spans="1:14" x14ac:dyDescent="0.25">
      <c r="A187">
        <v>189</v>
      </c>
      <c r="B187" t="s">
        <v>71</v>
      </c>
      <c r="C187" s="234">
        <v>51</v>
      </c>
      <c r="D187">
        <v>21100</v>
      </c>
      <c r="E187" t="s">
        <v>70</v>
      </c>
      <c r="F187" t="str">
        <f t="shared" si="5"/>
        <v>21100 - Accounts Payable</v>
      </c>
      <c r="G187" t="s">
        <v>550</v>
      </c>
      <c r="H187" t="s">
        <v>1177</v>
      </c>
      <c r="I187" s="155">
        <v>0</v>
      </c>
      <c r="J187" s="155">
        <v>0</v>
      </c>
      <c r="K187" s="155"/>
      <c r="L187" s="155">
        <v>0</v>
      </c>
      <c r="M187" s="233">
        <f>_xlfn.XLOOKUP(G187,'Master Budget'!$G$4:$G$360,'Master Budget'!$O$4:$O$360,0)</f>
        <v>0</v>
      </c>
      <c r="N187" s="233">
        <f>_xlfn.XLOOKUP(G187,'Master Budget'!$G$4:$G$360,'Master Budget'!$P$4:$P$360,0)</f>
        <v>0</v>
      </c>
    </row>
    <row r="188" spans="1:14" x14ac:dyDescent="0.25">
      <c r="A188">
        <v>190</v>
      </c>
      <c r="B188" t="s">
        <v>71</v>
      </c>
      <c r="C188" s="234">
        <v>51</v>
      </c>
      <c r="D188">
        <v>21100</v>
      </c>
      <c r="E188" t="s">
        <v>70</v>
      </c>
      <c r="F188" t="str">
        <f t="shared" si="5"/>
        <v>21100 - Accounts Payable</v>
      </c>
      <c r="G188" t="s">
        <v>843</v>
      </c>
      <c r="H188" t="s">
        <v>844</v>
      </c>
      <c r="I188" s="155">
        <v>0</v>
      </c>
      <c r="J188" s="155">
        <v>-926.35</v>
      </c>
      <c r="K188" s="155"/>
      <c r="L188" s="155"/>
      <c r="M188" s="233">
        <f>_xlfn.XLOOKUP(G188,'Master Budget'!$G$4:$G$360,'Master Budget'!$O$4:$O$360,0)</f>
        <v>0</v>
      </c>
      <c r="N188" s="233">
        <f>_xlfn.XLOOKUP(G188,'Master Budget'!$G$4:$G$360,'Master Budget'!$P$4:$P$360,0)</f>
        <v>0</v>
      </c>
    </row>
    <row r="189" spans="1:14" x14ac:dyDescent="0.25">
      <c r="A189">
        <v>191</v>
      </c>
      <c r="B189" t="s">
        <v>71</v>
      </c>
      <c r="C189" s="234">
        <v>51</v>
      </c>
      <c r="D189">
        <v>22200</v>
      </c>
      <c r="E189" t="s">
        <v>1040</v>
      </c>
      <c r="F189" t="str">
        <f t="shared" si="5"/>
        <v>22200 - Accrued Expenses</v>
      </c>
      <c r="G189" t="s">
        <v>551</v>
      </c>
      <c r="H189" t="s">
        <v>73</v>
      </c>
      <c r="I189" s="155">
        <v>-7768.23</v>
      </c>
      <c r="J189" s="155">
        <v>-13842.13</v>
      </c>
      <c r="K189" s="155"/>
      <c r="L189" s="155">
        <v>0</v>
      </c>
      <c r="M189" s="233">
        <f>_xlfn.XLOOKUP(G189,'Master Budget'!$G$4:$G$360,'Master Budget'!$O$4:$O$360,0)</f>
        <v>0</v>
      </c>
      <c r="N189" s="233">
        <f>_xlfn.XLOOKUP(G189,'Master Budget'!$G$4:$G$360,'Master Budget'!$P$4:$P$360,0)</f>
        <v>0</v>
      </c>
    </row>
    <row r="190" spans="1:14" x14ac:dyDescent="0.25">
      <c r="A190">
        <v>192</v>
      </c>
      <c r="B190" t="s">
        <v>71</v>
      </c>
      <c r="C190" s="234">
        <v>51</v>
      </c>
      <c r="D190">
        <v>22200</v>
      </c>
      <c r="E190" t="s">
        <v>1040</v>
      </c>
      <c r="F190" t="str">
        <f t="shared" si="5"/>
        <v>22200 - Accrued Expenses</v>
      </c>
      <c r="G190" t="s">
        <v>552</v>
      </c>
      <c r="H190" t="s">
        <v>208</v>
      </c>
      <c r="I190" s="155">
        <v>0</v>
      </c>
      <c r="J190" s="155">
        <v>-2276.41</v>
      </c>
      <c r="K190" s="155"/>
      <c r="L190" s="155">
        <v>0</v>
      </c>
      <c r="M190" s="233">
        <f>_xlfn.XLOOKUP(G190,'Master Budget'!$G$4:$G$360,'Master Budget'!$O$4:$O$360,0)</f>
        <v>0</v>
      </c>
      <c r="N190" s="233">
        <f>_xlfn.XLOOKUP(G190,'Master Budget'!$G$4:$G$360,'Master Budget'!$P$4:$P$360,0)</f>
        <v>0</v>
      </c>
    </row>
    <row r="191" spans="1:14" x14ac:dyDescent="0.25">
      <c r="A191">
        <v>193</v>
      </c>
      <c r="B191" t="s">
        <v>71</v>
      </c>
      <c r="C191" s="234">
        <v>51</v>
      </c>
      <c r="D191">
        <v>22200</v>
      </c>
      <c r="E191" t="s">
        <v>1040</v>
      </c>
      <c r="F191" t="str">
        <f t="shared" si="5"/>
        <v>22200 - Accrued Expenses</v>
      </c>
      <c r="G191" t="s">
        <v>553</v>
      </c>
      <c r="H191" t="s">
        <v>210</v>
      </c>
      <c r="I191" s="155">
        <v>0</v>
      </c>
      <c r="J191" s="155">
        <v>-1937.23</v>
      </c>
      <c r="K191" s="155"/>
      <c r="L191" s="155">
        <v>0</v>
      </c>
      <c r="M191" s="233">
        <f>_xlfn.XLOOKUP(G191,'Master Budget'!$G$4:$G$360,'Master Budget'!$O$4:$O$360,0)</f>
        <v>0</v>
      </c>
      <c r="N191" s="233">
        <f>_xlfn.XLOOKUP(G191,'Master Budget'!$G$4:$G$360,'Master Budget'!$P$4:$P$360,0)</f>
        <v>0</v>
      </c>
    </row>
    <row r="192" spans="1:14" x14ac:dyDescent="0.25">
      <c r="A192">
        <v>194</v>
      </c>
      <c r="B192" t="s">
        <v>71</v>
      </c>
      <c r="C192" s="234">
        <v>51</v>
      </c>
      <c r="D192">
        <v>28560</v>
      </c>
      <c r="E192" t="s">
        <v>79</v>
      </c>
      <c r="F192" t="str">
        <f t="shared" ref="F192:F253" si="7">D192&amp;" - "&amp;E192</f>
        <v>28560 - Net Pension Liability</v>
      </c>
      <c r="G192" t="s">
        <v>845</v>
      </c>
      <c r="H192" t="s">
        <v>79</v>
      </c>
      <c r="I192" s="155">
        <v>-20096</v>
      </c>
      <c r="J192" s="155">
        <v>-20096</v>
      </c>
      <c r="K192" s="155"/>
      <c r="L192" s="155"/>
      <c r="M192" s="233">
        <f>_xlfn.XLOOKUP(G192,'Master Budget'!$G$4:$G$360,'Master Budget'!$O$4:$O$360,0)</f>
        <v>0</v>
      </c>
      <c r="N192" s="233">
        <f>_xlfn.XLOOKUP(G192,'Master Budget'!$G$4:$G$360,'Master Budget'!$P$4:$P$360,0)</f>
        <v>0</v>
      </c>
    </row>
    <row r="193" spans="1:14" x14ac:dyDescent="0.25">
      <c r="A193">
        <v>195</v>
      </c>
      <c r="B193" t="s">
        <v>71</v>
      </c>
      <c r="C193" s="234">
        <v>51</v>
      </c>
      <c r="D193">
        <v>22520</v>
      </c>
      <c r="E193" t="s">
        <v>1041</v>
      </c>
      <c r="F193" t="str">
        <f t="shared" si="7"/>
        <v>22520 - Deferred inflows</v>
      </c>
      <c r="G193" t="s">
        <v>846</v>
      </c>
      <c r="H193" t="s">
        <v>213</v>
      </c>
      <c r="I193" s="155">
        <v>-383</v>
      </c>
      <c r="J193" s="155">
        <v>-383</v>
      </c>
      <c r="K193" s="155"/>
      <c r="L193" s="155"/>
      <c r="M193" s="233">
        <f>_xlfn.XLOOKUP(G193,'Master Budget'!$G$4:$G$360,'Master Budget'!$O$4:$O$360,0)</f>
        <v>0</v>
      </c>
      <c r="N193" s="233">
        <f>_xlfn.XLOOKUP(G193,'Master Budget'!$G$4:$G$360,'Master Budget'!$P$4:$P$360,0)</f>
        <v>0</v>
      </c>
    </row>
    <row r="194" spans="1:14" x14ac:dyDescent="0.25">
      <c r="A194">
        <v>196</v>
      </c>
      <c r="B194" t="s">
        <v>71</v>
      </c>
      <c r="C194" s="234">
        <v>51</v>
      </c>
      <c r="D194">
        <v>22200</v>
      </c>
      <c r="E194" t="s">
        <v>1040</v>
      </c>
      <c r="F194" t="str">
        <f t="shared" si="7"/>
        <v>22200 - Accrued Expenses</v>
      </c>
      <c r="G194" t="s">
        <v>554</v>
      </c>
      <c r="H194" t="s">
        <v>215</v>
      </c>
      <c r="I194" s="155">
        <v>0</v>
      </c>
      <c r="J194" s="155">
        <v>12.16</v>
      </c>
      <c r="K194" s="155"/>
      <c r="L194" s="155">
        <v>0</v>
      </c>
      <c r="M194" s="233">
        <f>_xlfn.XLOOKUP(G194,'Master Budget'!$G$4:$G$360,'Master Budget'!$O$4:$O$360,0)</f>
        <v>0</v>
      </c>
      <c r="N194" s="233">
        <f>_xlfn.XLOOKUP(G194,'Master Budget'!$G$4:$G$360,'Master Budget'!$P$4:$P$360,0)</f>
        <v>0</v>
      </c>
    </row>
    <row r="195" spans="1:14" x14ac:dyDescent="0.25">
      <c r="A195">
        <v>197</v>
      </c>
      <c r="B195" t="s">
        <v>71</v>
      </c>
      <c r="C195" s="234">
        <v>51</v>
      </c>
      <c r="D195">
        <v>22200</v>
      </c>
      <c r="E195" t="s">
        <v>1040</v>
      </c>
      <c r="F195" t="str">
        <f t="shared" si="7"/>
        <v>22200 - Accrued Expenses</v>
      </c>
      <c r="G195" t="s">
        <v>555</v>
      </c>
      <c r="H195" t="s">
        <v>217</v>
      </c>
      <c r="I195" s="155">
        <v>0</v>
      </c>
      <c r="J195" s="155">
        <v>0</v>
      </c>
      <c r="K195" s="155"/>
      <c r="L195" s="155">
        <v>0</v>
      </c>
      <c r="M195" s="233">
        <f>_xlfn.XLOOKUP(G195,'Master Budget'!$G$4:$G$360,'Master Budget'!$O$4:$O$360,0)</f>
        <v>0</v>
      </c>
      <c r="N195" s="233">
        <f>_xlfn.XLOOKUP(G195,'Master Budget'!$G$4:$G$360,'Master Budget'!$P$4:$P$360,0)</f>
        <v>0</v>
      </c>
    </row>
    <row r="196" spans="1:14" x14ac:dyDescent="0.25">
      <c r="A196">
        <v>198</v>
      </c>
      <c r="B196" t="s">
        <v>71</v>
      </c>
      <c r="C196" s="234">
        <v>51</v>
      </c>
      <c r="D196">
        <v>22200</v>
      </c>
      <c r="E196" t="s">
        <v>1040</v>
      </c>
      <c r="F196" t="str">
        <f t="shared" si="7"/>
        <v>22200 - Accrued Expenses</v>
      </c>
      <c r="G196" t="s">
        <v>556</v>
      </c>
      <c r="H196" t="s">
        <v>219</v>
      </c>
      <c r="I196" s="155">
        <v>0</v>
      </c>
      <c r="J196" s="155">
        <v>-22.85</v>
      </c>
      <c r="K196" s="155"/>
      <c r="L196" s="155">
        <v>0</v>
      </c>
      <c r="M196" s="233">
        <f>_xlfn.XLOOKUP(G196,'Master Budget'!$G$4:$G$360,'Master Budget'!$O$4:$O$360,0)</f>
        <v>0</v>
      </c>
      <c r="N196" s="233">
        <f>_xlfn.XLOOKUP(G196,'Master Budget'!$G$4:$G$360,'Master Budget'!$P$4:$P$360,0)</f>
        <v>0</v>
      </c>
    </row>
    <row r="197" spans="1:14" x14ac:dyDescent="0.25">
      <c r="A197">
        <v>199</v>
      </c>
      <c r="B197" t="s">
        <v>71</v>
      </c>
      <c r="C197" s="234">
        <v>51</v>
      </c>
      <c r="D197">
        <v>23000</v>
      </c>
      <c r="E197" t="s">
        <v>221</v>
      </c>
      <c r="F197" t="str">
        <f t="shared" si="7"/>
        <v>23000 - Unearned Revenue</v>
      </c>
      <c r="G197" t="s">
        <v>557</v>
      </c>
      <c r="H197" t="s">
        <v>221</v>
      </c>
      <c r="I197" s="155">
        <v>-488147.48</v>
      </c>
      <c r="J197" s="155">
        <v>-488147.48</v>
      </c>
      <c r="K197" s="155"/>
      <c r="L197" s="155">
        <v>0</v>
      </c>
      <c r="M197" s="233">
        <f>_xlfn.XLOOKUP(G197,'Master Budget'!$G$4:$G$360,'Master Budget'!$O$4:$O$360,0)</f>
        <v>0</v>
      </c>
      <c r="N197" s="233">
        <f>_xlfn.XLOOKUP(G197,'Master Budget'!$G$4:$G$360,'Master Budget'!$P$4:$P$360,0)</f>
        <v>0</v>
      </c>
    </row>
    <row r="198" spans="1:14" x14ac:dyDescent="0.25">
      <c r="A198">
        <v>200</v>
      </c>
      <c r="B198" t="s">
        <v>71</v>
      </c>
      <c r="C198" s="234">
        <v>51</v>
      </c>
      <c r="D198">
        <v>22200</v>
      </c>
      <c r="E198" t="s">
        <v>1040</v>
      </c>
      <c r="F198" t="str">
        <f t="shared" si="7"/>
        <v>22200 - Accrued Expenses</v>
      </c>
      <c r="G198" t="s">
        <v>558</v>
      </c>
      <c r="H198" t="s">
        <v>89</v>
      </c>
      <c r="I198" s="155">
        <v>-11853.26</v>
      </c>
      <c r="J198" s="155">
        <v>-11853.26</v>
      </c>
      <c r="K198" s="155"/>
      <c r="L198" s="155">
        <v>0</v>
      </c>
      <c r="M198" s="233">
        <f>_xlfn.XLOOKUP(G198,'Master Budget'!$G$4:$G$360,'Master Budget'!$O$4:$O$360,0)</f>
        <v>0</v>
      </c>
      <c r="N198" s="233">
        <f>_xlfn.XLOOKUP(G198,'Master Budget'!$G$4:$G$360,'Master Budget'!$P$4:$P$360,0)</f>
        <v>0</v>
      </c>
    </row>
    <row r="199" spans="1:14" x14ac:dyDescent="0.25">
      <c r="A199">
        <v>201</v>
      </c>
      <c r="B199" t="s">
        <v>71</v>
      </c>
      <c r="C199" s="234">
        <v>51</v>
      </c>
      <c r="D199">
        <v>22250</v>
      </c>
      <c r="E199" t="s">
        <v>1178</v>
      </c>
      <c r="F199" t="str">
        <f t="shared" si="7"/>
        <v>22250 - Compensated Absences Noncurrent</v>
      </c>
      <c r="G199" t="s">
        <v>559</v>
      </c>
      <c r="H199" t="s">
        <v>1178</v>
      </c>
      <c r="I199" s="155">
        <v>-13891</v>
      </c>
      <c r="J199" s="155">
        <v>-13891</v>
      </c>
      <c r="K199" s="155"/>
      <c r="L199" s="155">
        <v>0</v>
      </c>
      <c r="M199" s="233">
        <f>_xlfn.XLOOKUP(G199,'Master Budget'!$G$4:$G$360,'Master Budget'!$O$4:$O$360,0)</f>
        <v>0</v>
      </c>
      <c r="N199" s="233">
        <f>_xlfn.XLOOKUP(G199,'Master Budget'!$G$4:$G$360,'Master Budget'!$P$4:$P$360,0)</f>
        <v>0</v>
      </c>
    </row>
    <row r="200" spans="1:14" x14ac:dyDescent="0.25">
      <c r="A200">
        <v>202</v>
      </c>
      <c r="B200" t="s">
        <v>71</v>
      </c>
      <c r="C200" s="234">
        <v>51</v>
      </c>
      <c r="D200">
        <v>28000</v>
      </c>
      <c r="E200" t="s">
        <v>227</v>
      </c>
      <c r="F200" t="str">
        <f t="shared" si="7"/>
        <v>28000 - Accrued Interest Payable</v>
      </c>
      <c r="G200" t="s">
        <v>561</v>
      </c>
      <c r="H200" t="s">
        <v>227</v>
      </c>
      <c r="I200" s="155">
        <v>-2302.27</v>
      </c>
      <c r="J200" s="155">
        <v>-2302.27</v>
      </c>
      <c r="K200" s="155"/>
      <c r="L200" s="155">
        <v>0</v>
      </c>
      <c r="M200" s="233">
        <f>_xlfn.XLOOKUP(G200,'Master Budget'!$G$4:$G$360,'Master Budget'!$O$4:$O$360,0)</f>
        <v>0</v>
      </c>
      <c r="N200" s="233">
        <f>_xlfn.XLOOKUP(G200,'Master Budget'!$G$4:$G$360,'Master Budget'!$P$4:$P$360,0)</f>
        <v>0</v>
      </c>
    </row>
    <row r="201" spans="1:14" x14ac:dyDescent="0.25">
      <c r="A201">
        <v>203</v>
      </c>
      <c r="B201" t="s">
        <v>71</v>
      </c>
      <c r="C201" s="234">
        <v>51</v>
      </c>
      <c r="D201">
        <v>28510</v>
      </c>
      <c r="E201" t="s">
        <v>1179</v>
      </c>
      <c r="F201" t="str">
        <f t="shared" si="7"/>
        <v>28510 - Notes Payable - Noncurrent</v>
      </c>
      <c r="G201" t="s">
        <v>562</v>
      </c>
      <c r="H201" t="s">
        <v>563</v>
      </c>
      <c r="I201" s="155">
        <v>0</v>
      </c>
      <c r="J201" s="155">
        <v>0</v>
      </c>
      <c r="K201" s="155"/>
      <c r="L201" s="155">
        <v>0</v>
      </c>
      <c r="M201" s="233">
        <f>_xlfn.XLOOKUP(G201,'Master Budget'!$G$4:$G$360,'Master Budget'!$O$4:$O$360,0)</f>
        <v>0</v>
      </c>
      <c r="N201" s="233">
        <f>_xlfn.XLOOKUP(G201,'Master Budget'!$G$4:$G$360,'Master Budget'!$P$4:$P$360,0)</f>
        <v>0</v>
      </c>
    </row>
    <row r="202" spans="1:14" x14ac:dyDescent="0.25">
      <c r="A202">
        <v>205</v>
      </c>
      <c r="B202" t="s">
        <v>71</v>
      </c>
      <c r="C202" s="234">
        <v>51</v>
      </c>
      <c r="D202">
        <v>28521</v>
      </c>
      <c r="E202" t="s">
        <v>1232</v>
      </c>
      <c r="F202" t="str">
        <f t="shared" si="7"/>
        <v>28521 - capital Leases Payable - Current</v>
      </c>
      <c r="G202" t="s">
        <v>565</v>
      </c>
      <c r="H202" t="s">
        <v>1189</v>
      </c>
      <c r="I202" s="155">
        <v>0</v>
      </c>
      <c r="J202" s="155">
        <v>0</v>
      </c>
      <c r="K202" s="155"/>
      <c r="L202" s="155">
        <v>0</v>
      </c>
      <c r="M202" s="233">
        <f>_xlfn.XLOOKUP(G202,'Master Budget'!$G$4:$G$360,'Master Budget'!$O$4:$O$360,0)</f>
        <v>0</v>
      </c>
      <c r="N202" s="233">
        <f>_xlfn.XLOOKUP(G202,'Master Budget'!$G$4:$G$360,'Master Budget'!$P$4:$P$360,0)</f>
        <v>0</v>
      </c>
    </row>
    <row r="203" spans="1:14" x14ac:dyDescent="0.25">
      <c r="A203">
        <v>206</v>
      </c>
      <c r="B203" t="s">
        <v>71</v>
      </c>
      <c r="C203" s="234">
        <v>51</v>
      </c>
      <c r="D203">
        <v>28540</v>
      </c>
      <c r="E203" t="s">
        <v>1182</v>
      </c>
      <c r="F203" t="str">
        <f t="shared" si="7"/>
        <v>28540 - Bonds Payable - Noncurrent</v>
      </c>
      <c r="G203" t="s">
        <v>566</v>
      </c>
      <c r="H203" t="s">
        <v>1077</v>
      </c>
      <c r="I203" s="155">
        <v>-1558000</v>
      </c>
      <c r="J203" s="155">
        <v>-1558000</v>
      </c>
      <c r="K203" s="155"/>
      <c r="L203" s="155">
        <v>0</v>
      </c>
      <c r="M203" s="233">
        <f>_xlfn.XLOOKUP(G203,'Master Budget'!$G$4:$G$360,'Master Budget'!$O$4:$O$360,0)</f>
        <v>0</v>
      </c>
      <c r="N203" s="233">
        <f>_xlfn.XLOOKUP(G203,'Master Budget'!$G$4:$G$360,'Master Budget'!$P$4:$P$360,0)</f>
        <v>0</v>
      </c>
    </row>
    <row r="204" spans="1:14" x14ac:dyDescent="0.25">
      <c r="A204">
        <v>207</v>
      </c>
      <c r="B204" t="s">
        <v>71</v>
      </c>
      <c r="C204" s="234">
        <v>51</v>
      </c>
      <c r="D204">
        <v>28541</v>
      </c>
      <c r="E204" t="s">
        <v>1048</v>
      </c>
      <c r="F204" t="str">
        <f t="shared" si="7"/>
        <v>28541 - Bonds Payable - Current</v>
      </c>
      <c r="G204" t="s">
        <v>568</v>
      </c>
      <c r="H204" t="s">
        <v>569</v>
      </c>
      <c r="I204" s="155">
        <v>-138000</v>
      </c>
      <c r="J204" s="155">
        <v>-138000</v>
      </c>
      <c r="K204" s="155"/>
      <c r="L204" s="155">
        <v>0</v>
      </c>
      <c r="M204" s="233">
        <f>_xlfn.XLOOKUP(G204,'Master Budget'!$G$4:$G$360,'Master Budget'!$O$4:$O$360,0)</f>
        <v>0</v>
      </c>
      <c r="N204" s="233">
        <f>_xlfn.XLOOKUP(G204,'Master Budget'!$G$4:$G$360,'Master Budget'!$P$4:$P$360,0)</f>
        <v>0</v>
      </c>
    </row>
    <row r="205" spans="1:14" x14ac:dyDescent="0.25">
      <c r="A205">
        <v>208</v>
      </c>
      <c r="B205" t="s">
        <v>71</v>
      </c>
      <c r="C205" s="234">
        <v>51</v>
      </c>
      <c r="D205">
        <v>28521</v>
      </c>
      <c r="E205" t="s">
        <v>1232</v>
      </c>
      <c r="F205" t="str">
        <f t="shared" si="7"/>
        <v>28521 - capital Leases Payable - Current</v>
      </c>
      <c r="G205" t="s">
        <v>570</v>
      </c>
      <c r="H205" t="s">
        <v>237</v>
      </c>
      <c r="I205" s="155">
        <v>0</v>
      </c>
      <c r="J205" s="155">
        <v>0</v>
      </c>
      <c r="K205" s="155"/>
      <c r="L205" s="155">
        <v>0</v>
      </c>
      <c r="M205" s="233">
        <f>_xlfn.XLOOKUP(G205,'Master Budget'!$G$4:$G$360,'Master Budget'!$O$4:$O$360,0)</f>
        <v>0</v>
      </c>
      <c r="N205" s="233">
        <f>_xlfn.XLOOKUP(G205,'Master Budget'!$G$4:$G$360,'Master Budget'!$P$4:$P$360,0)</f>
        <v>0</v>
      </c>
    </row>
    <row r="206" spans="1:14" x14ac:dyDescent="0.25">
      <c r="A206">
        <v>209</v>
      </c>
      <c r="B206" t="s">
        <v>71</v>
      </c>
      <c r="C206" s="234">
        <v>51</v>
      </c>
      <c r="D206">
        <v>28520</v>
      </c>
      <c r="E206" t="s">
        <v>1230</v>
      </c>
      <c r="F206" t="str">
        <f t="shared" si="7"/>
        <v>28520 - capital Leases Payable  - Noncurrent</v>
      </c>
      <c r="G206" t="s">
        <v>574</v>
      </c>
      <c r="H206" t="s">
        <v>31</v>
      </c>
      <c r="I206" s="155">
        <v>0</v>
      </c>
      <c r="J206" s="155">
        <v>0</v>
      </c>
      <c r="K206" s="155"/>
      <c r="L206" s="155">
        <v>0</v>
      </c>
      <c r="M206" s="233">
        <f>_xlfn.XLOOKUP(G206,'Master Budget'!$G$4:$G$360,'Master Budget'!$O$4:$O$360,0)</f>
        <v>0</v>
      </c>
      <c r="N206" s="233">
        <f>_xlfn.XLOOKUP(G206,'Master Budget'!$G$4:$G$360,'Master Budget'!$P$4:$P$360,0)</f>
        <v>0</v>
      </c>
    </row>
    <row r="207" spans="1:14" x14ac:dyDescent="0.25">
      <c r="A207">
        <v>210</v>
      </c>
      <c r="B207" t="s">
        <v>1049</v>
      </c>
      <c r="C207" s="234">
        <v>51</v>
      </c>
      <c r="D207">
        <v>29100</v>
      </c>
      <c r="E207" t="s">
        <v>1050</v>
      </c>
      <c r="F207" t="str">
        <f t="shared" si="7"/>
        <v>29100 - Unrestricted</v>
      </c>
      <c r="G207" t="s">
        <v>577</v>
      </c>
      <c r="H207" t="s">
        <v>246</v>
      </c>
      <c r="I207" s="155">
        <v>-4627990.25</v>
      </c>
      <c r="J207" s="155">
        <v>-7189526.1900000004</v>
      </c>
      <c r="K207" s="155"/>
      <c r="L207" s="155">
        <v>0</v>
      </c>
      <c r="M207" s="233">
        <f>_xlfn.XLOOKUP(G207,'Master Budget'!$G$4:$G$360,'Master Budget'!$O$4:$O$360,0)</f>
        <v>0</v>
      </c>
      <c r="N207" s="233">
        <f>_xlfn.XLOOKUP(G207,'Master Budget'!$G$4:$G$360,'Master Budget'!$P$4:$P$360,0)</f>
        <v>0</v>
      </c>
    </row>
    <row r="208" spans="1:14" x14ac:dyDescent="0.25">
      <c r="A208">
        <v>211</v>
      </c>
      <c r="B208" t="s">
        <v>97</v>
      </c>
      <c r="C208" s="234">
        <v>51</v>
      </c>
      <c r="D208">
        <v>70</v>
      </c>
      <c r="E208" t="s">
        <v>20</v>
      </c>
      <c r="F208" t="str">
        <f t="shared" si="7"/>
        <v>70 - Grant revenue</v>
      </c>
      <c r="G208" t="s">
        <v>578</v>
      </c>
      <c r="H208" t="s">
        <v>982</v>
      </c>
      <c r="I208" s="155">
        <v>-2306306.33</v>
      </c>
      <c r="J208" s="155">
        <v>-25498.75</v>
      </c>
      <c r="K208" s="155">
        <f t="shared" ref="K208:K270" si="8">J208/9*12</f>
        <v>-33998.333333333328</v>
      </c>
      <c r="L208" s="155">
        <v>-3700000</v>
      </c>
      <c r="M208" s="233">
        <f>_xlfn.XLOOKUP(G208,'Master Budget'!$G$4:$G$360,'Master Budget'!$O$4:$O$360,0)</f>
        <v>0</v>
      </c>
      <c r="N208" s="233">
        <f>_xlfn.XLOOKUP(G208,'Master Budget'!$G$4:$G$360,'Master Budget'!$P$4:$P$360,0)</f>
        <v>-1400000</v>
      </c>
    </row>
    <row r="209" spans="1:14" x14ac:dyDescent="0.25">
      <c r="A209">
        <v>212</v>
      </c>
      <c r="B209" t="s">
        <v>97</v>
      </c>
      <c r="C209" s="234">
        <v>51</v>
      </c>
      <c r="D209">
        <v>30</v>
      </c>
      <c r="E209" t="s">
        <v>6</v>
      </c>
      <c r="F209" t="str">
        <f t="shared" si="7"/>
        <v>30 - Charges for services</v>
      </c>
      <c r="G209" t="s">
        <v>580</v>
      </c>
      <c r="H209" t="s">
        <v>581</v>
      </c>
      <c r="I209" s="155">
        <v>-434062.49</v>
      </c>
      <c r="J209" s="155">
        <v>-294672.45</v>
      </c>
      <c r="K209" s="155">
        <f t="shared" si="8"/>
        <v>-392896.60000000003</v>
      </c>
      <c r="L209" s="155">
        <v>-390000</v>
      </c>
      <c r="M209" s="233">
        <f>_xlfn.XLOOKUP(G209,'Master Budget'!$G$4:$G$360,'Master Budget'!$O$4:$O$360,0)</f>
        <v>-390000</v>
      </c>
      <c r="N209" s="233">
        <f>_xlfn.XLOOKUP(G209,'Master Budget'!$G$4:$G$360,'Master Budget'!$P$4:$P$360,0)</f>
        <v>-390000</v>
      </c>
    </row>
    <row r="210" spans="1:14" x14ac:dyDescent="0.25">
      <c r="A210">
        <v>213</v>
      </c>
      <c r="B210" t="s">
        <v>97</v>
      </c>
      <c r="C210" s="234">
        <v>51</v>
      </c>
      <c r="D210">
        <v>30</v>
      </c>
      <c r="E210" t="s">
        <v>6</v>
      </c>
      <c r="F210" t="str">
        <f t="shared" si="7"/>
        <v>30 - Charges for services</v>
      </c>
      <c r="G210" t="s">
        <v>582</v>
      </c>
      <c r="H210" t="s">
        <v>583</v>
      </c>
      <c r="I210" s="155">
        <v>0</v>
      </c>
      <c r="J210" s="155">
        <v>0</v>
      </c>
      <c r="K210" s="155">
        <f t="shared" si="8"/>
        <v>0</v>
      </c>
      <c r="L210" s="155">
        <v>-30</v>
      </c>
      <c r="M210" s="233">
        <f>_xlfn.XLOOKUP(G210,'Master Budget'!$G$4:$G$360,'Master Budget'!$O$4:$O$360,0)</f>
        <v>-30</v>
      </c>
      <c r="N210" s="233">
        <f>_xlfn.XLOOKUP(G210,'Master Budget'!$G$4:$G$360,'Master Budget'!$P$4:$P$360,0)</f>
        <v>-30</v>
      </c>
    </row>
    <row r="211" spans="1:14" x14ac:dyDescent="0.25">
      <c r="A211">
        <v>214</v>
      </c>
      <c r="B211" t="s">
        <v>97</v>
      </c>
      <c r="C211" s="234">
        <v>51</v>
      </c>
      <c r="D211">
        <v>30</v>
      </c>
      <c r="E211" t="s">
        <v>6</v>
      </c>
      <c r="F211" t="str">
        <f t="shared" si="7"/>
        <v>30 - Charges for services</v>
      </c>
      <c r="G211" t="s">
        <v>584</v>
      </c>
      <c r="H211" t="s">
        <v>585</v>
      </c>
      <c r="I211" s="155">
        <v>-8425</v>
      </c>
      <c r="J211" s="155">
        <v>-6550.01</v>
      </c>
      <c r="K211" s="155">
        <f t="shared" si="8"/>
        <v>-8733.3466666666664</v>
      </c>
      <c r="L211" s="155">
        <v>-8580</v>
      </c>
      <c r="M211" s="233">
        <f>_xlfn.XLOOKUP(G211,'Master Budget'!$G$4:$G$360,'Master Budget'!$O$4:$O$360,0)</f>
        <v>-8580</v>
      </c>
      <c r="N211" s="233">
        <f>_xlfn.XLOOKUP(G211,'Master Budget'!$G$4:$G$360,'Master Budget'!$P$4:$P$360,0)</f>
        <v>-8580</v>
      </c>
    </row>
    <row r="212" spans="1:14" x14ac:dyDescent="0.25">
      <c r="A212">
        <v>215</v>
      </c>
      <c r="B212" t="s">
        <v>97</v>
      </c>
      <c r="C212" s="234">
        <v>51</v>
      </c>
      <c r="D212">
        <v>30</v>
      </c>
      <c r="E212" t="s">
        <v>6</v>
      </c>
      <c r="F212" t="str">
        <f t="shared" si="7"/>
        <v>30 - Charges for services</v>
      </c>
      <c r="G212" t="s">
        <v>586</v>
      </c>
      <c r="H212" t="s">
        <v>587</v>
      </c>
      <c r="I212" s="155">
        <v>-438904.84</v>
      </c>
      <c r="J212" s="155">
        <v>-302907.17</v>
      </c>
      <c r="K212" s="155">
        <f t="shared" si="8"/>
        <v>-403876.22666666668</v>
      </c>
      <c r="L212" s="155">
        <v>-350000</v>
      </c>
      <c r="M212" s="233">
        <f>_xlfn.XLOOKUP(G212,'Master Budget'!$G$4:$G$360,'Master Budget'!$O$4:$O$360,0)</f>
        <v>-350000</v>
      </c>
      <c r="N212" s="233">
        <f>_xlfn.XLOOKUP(G212,'Master Budget'!$G$4:$G$360,'Master Budget'!$P$4:$P$360,0)</f>
        <v>-350000</v>
      </c>
    </row>
    <row r="213" spans="1:14" x14ac:dyDescent="0.25">
      <c r="A213">
        <v>216</v>
      </c>
      <c r="B213" t="s">
        <v>97</v>
      </c>
      <c r="C213" s="234">
        <v>51</v>
      </c>
      <c r="D213">
        <v>30</v>
      </c>
      <c r="E213" t="s">
        <v>6</v>
      </c>
      <c r="F213" t="str">
        <f t="shared" si="7"/>
        <v>30 - Charges for services</v>
      </c>
      <c r="G213" t="s">
        <v>588</v>
      </c>
      <c r="H213" t="s">
        <v>589</v>
      </c>
      <c r="I213" s="155">
        <v>0</v>
      </c>
      <c r="J213" s="155">
        <v>0</v>
      </c>
      <c r="K213" s="155">
        <f t="shared" si="8"/>
        <v>0</v>
      </c>
      <c r="L213" s="155">
        <v>0</v>
      </c>
      <c r="M213" s="233">
        <f>_xlfn.XLOOKUP(G213,'Master Budget'!$G$4:$G$360,'Master Budget'!$O$4:$O$360,0)</f>
        <v>0</v>
      </c>
      <c r="N213" s="233">
        <f>_xlfn.XLOOKUP(G213,'Master Budget'!$G$4:$G$360,'Master Budget'!$P$4:$P$360,0)</f>
        <v>0</v>
      </c>
    </row>
    <row r="214" spans="1:14" x14ac:dyDescent="0.25">
      <c r="A214">
        <v>217</v>
      </c>
      <c r="B214" t="s">
        <v>97</v>
      </c>
      <c r="C214" s="234">
        <v>51</v>
      </c>
      <c r="D214">
        <v>30</v>
      </c>
      <c r="E214" t="s">
        <v>6</v>
      </c>
      <c r="F214" t="str">
        <f t="shared" si="7"/>
        <v>30 - Charges for services</v>
      </c>
      <c r="G214" t="s">
        <v>590</v>
      </c>
      <c r="H214" t="s">
        <v>591</v>
      </c>
      <c r="I214" s="155">
        <v>-13520</v>
      </c>
      <c r="J214" s="155">
        <v>0</v>
      </c>
      <c r="K214" s="155">
        <f t="shared" si="8"/>
        <v>0</v>
      </c>
      <c r="L214" s="155">
        <v>0</v>
      </c>
      <c r="M214" s="233">
        <f>_xlfn.XLOOKUP(G214,'Master Budget'!$G$4:$G$360,'Master Budget'!$O$4:$O$360,0)</f>
        <v>0</v>
      </c>
      <c r="N214" s="233">
        <f>_xlfn.XLOOKUP(G214,'Master Budget'!$G$4:$G$360,'Master Budget'!$P$4:$P$360,0)</f>
        <v>0</v>
      </c>
    </row>
    <row r="215" spans="1:14" x14ac:dyDescent="0.25">
      <c r="A215">
        <v>218</v>
      </c>
      <c r="B215" t="s">
        <v>97</v>
      </c>
      <c r="C215" s="234">
        <v>51</v>
      </c>
      <c r="D215">
        <v>30</v>
      </c>
      <c r="E215" t="s">
        <v>6</v>
      </c>
      <c r="F215" t="str">
        <f t="shared" si="7"/>
        <v>30 - Charges for services</v>
      </c>
      <c r="G215" t="s">
        <v>592</v>
      </c>
      <c r="H215" t="s">
        <v>593</v>
      </c>
      <c r="I215" s="155">
        <v>0</v>
      </c>
      <c r="J215" s="155">
        <v>0</v>
      </c>
      <c r="K215" s="155">
        <f t="shared" si="8"/>
        <v>0</v>
      </c>
      <c r="L215" s="155">
        <v>0</v>
      </c>
      <c r="M215" s="233">
        <f>_xlfn.XLOOKUP(G215,'Master Budget'!$G$4:$G$360,'Master Budget'!$O$4:$O$360,0)</f>
        <v>0</v>
      </c>
      <c r="N215" s="233">
        <f>_xlfn.XLOOKUP(G215,'Master Budget'!$G$4:$G$360,'Master Budget'!$P$4:$P$360,0)</f>
        <v>0</v>
      </c>
    </row>
    <row r="216" spans="1:14" x14ac:dyDescent="0.25">
      <c r="A216">
        <v>219</v>
      </c>
      <c r="B216" t="s">
        <v>97</v>
      </c>
      <c r="C216" s="234">
        <v>51</v>
      </c>
      <c r="D216">
        <v>960</v>
      </c>
      <c r="E216" t="s">
        <v>19</v>
      </c>
      <c r="F216" t="str">
        <f t="shared" si="7"/>
        <v>960 - Interest income</v>
      </c>
      <c r="G216" t="s">
        <v>594</v>
      </c>
      <c r="H216" t="s">
        <v>256</v>
      </c>
      <c r="I216" s="155">
        <v>-4166.22</v>
      </c>
      <c r="J216" s="155">
        <v>0</v>
      </c>
      <c r="K216" s="155">
        <f t="shared" si="8"/>
        <v>0</v>
      </c>
      <c r="L216" s="155">
        <v>0</v>
      </c>
      <c r="M216" s="233">
        <f>_xlfn.XLOOKUP(G216,'Master Budget'!$G$4:$G$360,'Master Budget'!$O$4:$O$360,0)</f>
        <v>0</v>
      </c>
      <c r="N216" s="233">
        <f>_xlfn.XLOOKUP(G216,'Master Budget'!$G$4:$G$360,'Master Budget'!$P$4:$P$360,0)</f>
        <v>0</v>
      </c>
    </row>
    <row r="217" spans="1:14" x14ac:dyDescent="0.25">
      <c r="A217">
        <v>220</v>
      </c>
      <c r="B217" t="s">
        <v>97</v>
      </c>
      <c r="C217" s="234">
        <v>51</v>
      </c>
      <c r="D217">
        <v>30</v>
      </c>
      <c r="E217" t="s">
        <v>6</v>
      </c>
      <c r="F217" t="str">
        <f t="shared" si="7"/>
        <v>30 - Charges for services</v>
      </c>
      <c r="G217" t="s">
        <v>595</v>
      </c>
      <c r="H217" t="s">
        <v>99</v>
      </c>
      <c r="I217" s="155">
        <v>-9106.6</v>
      </c>
      <c r="J217" s="155">
        <v>-53047.48</v>
      </c>
      <c r="K217" s="155">
        <f t="shared" si="8"/>
        <v>-70729.973333333328</v>
      </c>
      <c r="L217" s="155">
        <v>-4110</v>
      </c>
      <c r="M217" s="233">
        <f>_xlfn.XLOOKUP(G217,'Master Budget'!$G$4:$G$360,'Master Budget'!$O$4:$O$360,0)</f>
        <v>-4110</v>
      </c>
      <c r="N217" s="233">
        <f>_xlfn.XLOOKUP(G217,'Master Budget'!$G$4:$G$360,'Master Budget'!$P$4:$P$360,0)</f>
        <v>-4110</v>
      </c>
    </row>
    <row r="218" spans="1:14" x14ac:dyDescent="0.25">
      <c r="A218">
        <v>221</v>
      </c>
      <c r="B218" t="s">
        <v>97</v>
      </c>
      <c r="C218" s="234">
        <v>51</v>
      </c>
      <c r="D218">
        <v>950</v>
      </c>
      <c r="E218" t="s">
        <v>17</v>
      </c>
      <c r="F218" t="str">
        <f t="shared" si="7"/>
        <v>950 - Property Taxes</v>
      </c>
      <c r="G218" t="s">
        <v>596</v>
      </c>
      <c r="H218" t="s">
        <v>259</v>
      </c>
      <c r="I218" s="155">
        <v>-102677.18</v>
      </c>
      <c r="J218" s="155">
        <v>-6902.08</v>
      </c>
      <c r="K218" s="155">
        <f t="shared" si="8"/>
        <v>-9202.7733333333326</v>
      </c>
      <c r="L218" s="155">
        <v>-80000</v>
      </c>
      <c r="M218" s="233">
        <f>_xlfn.XLOOKUP(G218,'Master Budget'!$G$4:$G$360,'Master Budget'!$O$4:$O$360,0)</f>
        <v>-80000</v>
      </c>
      <c r="N218" s="233">
        <f>_xlfn.XLOOKUP(G218,'Master Budget'!$G$4:$G$360,'Master Budget'!$P$4:$P$360,0)</f>
        <v>-80000</v>
      </c>
    </row>
    <row r="219" spans="1:14" x14ac:dyDescent="0.25">
      <c r="A219">
        <v>222</v>
      </c>
      <c r="B219" t="s">
        <v>97</v>
      </c>
      <c r="C219" s="234">
        <v>51</v>
      </c>
      <c r="D219">
        <v>960</v>
      </c>
      <c r="E219" t="s">
        <v>19</v>
      </c>
      <c r="F219" t="str">
        <f t="shared" si="7"/>
        <v>960 - Interest income</v>
      </c>
      <c r="G219" t="s">
        <v>597</v>
      </c>
      <c r="H219" t="s">
        <v>261</v>
      </c>
      <c r="I219" s="155">
        <v>-123891.41</v>
      </c>
      <c r="J219" s="155">
        <v>-26221.13</v>
      </c>
      <c r="K219" s="155">
        <f t="shared" si="8"/>
        <v>-34961.506666666668</v>
      </c>
      <c r="L219" s="155">
        <v>-100000</v>
      </c>
      <c r="M219" s="233">
        <f>_xlfn.XLOOKUP(G219,'Master Budget'!$G$4:$G$360,'Master Budget'!$O$4:$O$360,0)</f>
        <v>-100000</v>
      </c>
      <c r="N219" s="233">
        <f>_xlfn.XLOOKUP(G219,'Master Budget'!$G$4:$G$360,'Master Budget'!$P$4:$P$360,0)</f>
        <v>-100000</v>
      </c>
    </row>
    <row r="220" spans="1:14" x14ac:dyDescent="0.25">
      <c r="A220">
        <v>224</v>
      </c>
      <c r="B220" t="s">
        <v>97</v>
      </c>
      <c r="C220" s="234">
        <v>51</v>
      </c>
      <c r="D220">
        <v>960</v>
      </c>
      <c r="E220" t="s">
        <v>19</v>
      </c>
      <c r="F220" t="str">
        <f t="shared" si="7"/>
        <v>960 - Interest income</v>
      </c>
      <c r="G220" t="s">
        <v>599</v>
      </c>
      <c r="H220" t="s">
        <v>600</v>
      </c>
      <c r="I220" s="155">
        <v>0</v>
      </c>
      <c r="J220" s="155">
        <v>0</v>
      </c>
      <c r="K220" s="155">
        <f t="shared" si="8"/>
        <v>0</v>
      </c>
      <c r="L220" s="155">
        <v>0</v>
      </c>
      <c r="M220" s="233">
        <f>_xlfn.XLOOKUP(G220,'Master Budget'!$G$4:$G$360,'Master Budget'!$O$4:$O$360,0)</f>
        <v>0</v>
      </c>
      <c r="N220" s="233">
        <f>_xlfn.XLOOKUP(G220,'Master Budget'!$G$4:$G$360,'Master Budget'!$P$4:$P$360,0)</f>
        <v>0</v>
      </c>
    </row>
    <row r="221" spans="1:14" x14ac:dyDescent="0.25">
      <c r="A221">
        <v>225</v>
      </c>
      <c r="B221" t="s">
        <v>102</v>
      </c>
      <c r="C221" s="234">
        <v>51</v>
      </c>
      <c r="D221">
        <v>100</v>
      </c>
      <c r="E221" t="s">
        <v>9</v>
      </c>
      <c r="F221" t="str">
        <f t="shared" si="7"/>
        <v>100 - Salaries and Benefits</v>
      </c>
      <c r="G221" t="s">
        <v>607</v>
      </c>
      <c r="H221" t="s">
        <v>1078</v>
      </c>
      <c r="I221" s="155">
        <v>195962.23</v>
      </c>
      <c r="J221" s="155">
        <v>151760.79999999999</v>
      </c>
      <c r="K221" s="155">
        <f t="shared" si="8"/>
        <v>202347.73333333334</v>
      </c>
      <c r="L221" s="155">
        <v>259590.18340500002</v>
      </c>
      <c r="M221" s="233">
        <f>_xlfn.XLOOKUP(G221,'Master Budget'!$G$4:$G$360,'Master Budget'!$O$4:$O$360,0)</f>
        <v>258650.34899999999</v>
      </c>
      <c r="N221" s="233">
        <f>_xlfn.XLOOKUP(G221,'Master Budget'!$G$4:$G$360,'Master Budget'!$P$4:$P$360,0)</f>
        <v>210153.56189999994</v>
      </c>
    </row>
    <row r="222" spans="1:14" x14ac:dyDescent="0.25">
      <c r="A222">
        <v>226</v>
      </c>
      <c r="B222" t="s">
        <v>102</v>
      </c>
      <c r="C222" s="234">
        <v>51</v>
      </c>
      <c r="D222">
        <v>100</v>
      </c>
      <c r="E222" t="s">
        <v>9</v>
      </c>
      <c r="F222" t="str">
        <f t="shared" si="7"/>
        <v>100 - Salaries and Benefits</v>
      </c>
      <c r="G222" t="s">
        <v>608</v>
      </c>
      <c r="H222" t="s">
        <v>104</v>
      </c>
      <c r="I222" s="155">
        <v>15300.18</v>
      </c>
      <c r="J222" s="155">
        <v>12536.9</v>
      </c>
      <c r="K222" s="155">
        <f t="shared" si="8"/>
        <v>16715.866666666665</v>
      </c>
      <c r="L222" s="155">
        <v>19858.649030482498</v>
      </c>
      <c r="M222" s="233">
        <f>_xlfn.XLOOKUP(G222,'Master Budget'!$G$4:$G$360,'Master Budget'!$O$4:$O$360,0)</f>
        <v>19786.7516985</v>
      </c>
      <c r="N222" s="233">
        <f>_xlfn.XLOOKUP(G222,'Master Budget'!$G$4:$G$360,'Master Budget'!$P$4:$P$360,0)</f>
        <v>16076.747485349995</v>
      </c>
    </row>
    <row r="223" spans="1:14" x14ac:dyDescent="0.25">
      <c r="A223">
        <v>227</v>
      </c>
      <c r="B223" t="s">
        <v>102</v>
      </c>
      <c r="C223" s="234">
        <v>51</v>
      </c>
      <c r="D223">
        <v>100</v>
      </c>
      <c r="E223" t="s">
        <v>9</v>
      </c>
      <c r="F223" t="str">
        <f t="shared" si="7"/>
        <v>100 - Salaries and Benefits</v>
      </c>
      <c r="G223" t="s">
        <v>609</v>
      </c>
      <c r="H223" t="s">
        <v>106</v>
      </c>
      <c r="I223" s="155">
        <v>35514.379999999997</v>
      </c>
      <c r="J223" s="155">
        <v>28084.22</v>
      </c>
      <c r="K223" s="155">
        <f t="shared" si="8"/>
        <v>37445.626666666671</v>
      </c>
      <c r="L223" s="155">
        <v>39004.434000000008</v>
      </c>
      <c r="M223" s="233">
        <f>_xlfn.XLOOKUP(G223,'Master Budget'!$G$4:$G$360,'Master Budget'!$O$4:$O$360,0)</f>
        <v>38885.520000000004</v>
      </c>
      <c r="N223" s="233">
        <f>_xlfn.XLOOKUP(G223,'Master Budget'!$G$4:$G$360,'Master Budget'!$P$4:$P$360,0)</f>
        <v>30695.847519999999</v>
      </c>
    </row>
    <row r="224" spans="1:14" x14ac:dyDescent="0.25">
      <c r="A224">
        <v>228</v>
      </c>
      <c r="B224" t="s">
        <v>102</v>
      </c>
      <c r="C224" s="234">
        <v>51</v>
      </c>
      <c r="D224">
        <v>100</v>
      </c>
      <c r="E224" t="s">
        <v>9</v>
      </c>
      <c r="F224" t="str">
        <f t="shared" si="7"/>
        <v>100 - Salaries and Benefits</v>
      </c>
      <c r="G224" t="s">
        <v>610</v>
      </c>
      <c r="H224" t="s">
        <v>108</v>
      </c>
      <c r="I224" s="155">
        <v>42430.27</v>
      </c>
      <c r="J224" s="155">
        <v>30727.05</v>
      </c>
      <c r="K224" s="155">
        <f t="shared" si="8"/>
        <v>40969.4</v>
      </c>
      <c r="L224" s="155">
        <v>53007.742125000004</v>
      </c>
      <c r="M224" s="233">
        <f>_xlfn.XLOOKUP(G224,'Master Budget'!$G$4:$G$360,'Master Budget'!$O$4:$O$360,0)</f>
        <v>53023.255799999999</v>
      </c>
      <c r="N224" s="233">
        <f>_xlfn.XLOOKUP(G224,'Master Budget'!$G$4:$G$360,'Master Budget'!$P$4:$P$360,0)</f>
        <v>114383.75237599999</v>
      </c>
    </row>
    <row r="225" spans="1:14" x14ac:dyDescent="0.25">
      <c r="A225">
        <v>229</v>
      </c>
      <c r="B225" t="s">
        <v>102</v>
      </c>
      <c r="C225" s="234">
        <v>51</v>
      </c>
      <c r="D225">
        <v>100</v>
      </c>
      <c r="E225" t="s">
        <v>9</v>
      </c>
      <c r="F225" t="str">
        <f t="shared" si="7"/>
        <v>100 - Salaries and Benefits</v>
      </c>
      <c r="G225" t="s">
        <v>611</v>
      </c>
      <c r="H225" t="s">
        <v>110</v>
      </c>
      <c r="I225" s="155">
        <v>1322.94</v>
      </c>
      <c r="J225" s="155">
        <v>950.85</v>
      </c>
      <c r="K225" s="155">
        <f t="shared" si="8"/>
        <v>1267.8000000000002</v>
      </c>
      <c r="L225" s="155">
        <v>5007.4078656000002</v>
      </c>
      <c r="M225" s="233">
        <f>_xlfn.XLOOKUP(G225,'Master Budget'!$G$4:$G$360,'Master Budget'!$O$4:$O$360,0)</f>
        <v>4985.4406399999998</v>
      </c>
      <c r="N225" s="233">
        <f>_xlfn.XLOOKUP(G225,'Master Budget'!$G$4:$G$360,'Master Budget'!$P$4:$P$360,0)</f>
        <v>4006.0952379999999</v>
      </c>
    </row>
    <row r="226" spans="1:14" x14ac:dyDescent="0.25">
      <c r="A226">
        <v>230</v>
      </c>
      <c r="B226" t="s">
        <v>102</v>
      </c>
      <c r="C226" s="234">
        <v>51</v>
      </c>
      <c r="D226">
        <v>100</v>
      </c>
      <c r="E226" t="s">
        <v>9</v>
      </c>
      <c r="F226" t="str">
        <f t="shared" si="7"/>
        <v>100 - Salaries and Benefits</v>
      </c>
      <c r="G226" t="s">
        <v>612</v>
      </c>
      <c r="H226" t="s">
        <v>112</v>
      </c>
      <c r="I226" s="155">
        <v>10894.21</v>
      </c>
      <c r="J226" s="155">
        <v>12460.06</v>
      </c>
      <c r="K226" s="155">
        <f t="shared" si="8"/>
        <v>16613.41333333333</v>
      </c>
      <c r="L226" s="155">
        <v>0</v>
      </c>
      <c r="M226" s="233">
        <f>_xlfn.XLOOKUP(G226,'Master Budget'!$G$4:$G$360,'Master Budget'!$O$4:$O$360,0)</f>
        <v>0</v>
      </c>
      <c r="N226" s="233">
        <f>_xlfn.XLOOKUP(G226,'Master Budget'!$G$4:$G$360,'Master Budget'!$P$4:$P$360,0)</f>
        <v>0</v>
      </c>
    </row>
    <row r="227" spans="1:14" x14ac:dyDescent="0.25">
      <c r="A227">
        <v>231</v>
      </c>
      <c r="B227" t="s">
        <v>102</v>
      </c>
      <c r="C227" s="234">
        <v>51</v>
      </c>
      <c r="D227">
        <v>100</v>
      </c>
      <c r="E227" t="s">
        <v>9</v>
      </c>
      <c r="F227" t="str">
        <f t="shared" si="7"/>
        <v>100 - Salaries and Benefits</v>
      </c>
      <c r="G227" t="s">
        <v>613</v>
      </c>
      <c r="H227" t="s">
        <v>114</v>
      </c>
      <c r="I227" s="155">
        <v>5.85</v>
      </c>
      <c r="J227" s="155">
        <v>1.33</v>
      </c>
      <c r="K227" s="155">
        <f t="shared" si="8"/>
        <v>1.7733333333333334</v>
      </c>
      <c r="L227" s="155">
        <v>115.20000000000002</v>
      </c>
      <c r="M227" s="233">
        <f>_xlfn.XLOOKUP(G227,'Master Budget'!$G$4:$G$360,'Master Budget'!$O$4:$O$360,0)</f>
        <v>115.20000000000002</v>
      </c>
      <c r="N227" s="233">
        <f>_xlfn.XLOOKUP(G227,'Master Budget'!$G$4:$G$360,'Master Budget'!$P$4:$P$360,0)</f>
        <v>172.80000000000004</v>
      </c>
    </row>
    <row r="228" spans="1:14" x14ac:dyDescent="0.25">
      <c r="A228">
        <v>232</v>
      </c>
      <c r="B228" t="s">
        <v>102</v>
      </c>
      <c r="C228" s="234">
        <v>51</v>
      </c>
      <c r="D228">
        <v>100</v>
      </c>
      <c r="E228" t="s">
        <v>9</v>
      </c>
      <c r="F228" t="str">
        <f t="shared" si="7"/>
        <v>100 - Salaries and Benefits</v>
      </c>
      <c r="G228" t="s">
        <v>614</v>
      </c>
      <c r="H228" t="s">
        <v>276</v>
      </c>
      <c r="I228" s="155">
        <v>1149.5</v>
      </c>
      <c r="J228" s="155">
        <v>54.18</v>
      </c>
      <c r="K228" s="155">
        <f t="shared" si="8"/>
        <v>72.239999999999995</v>
      </c>
      <c r="L228" s="155">
        <v>600</v>
      </c>
      <c r="M228" s="233">
        <f>_xlfn.XLOOKUP(G228,'Master Budget'!$G$4:$G$360,'Master Budget'!$O$4:$O$360,0)</f>
        <v>600</v>
      </c>
      <c r="N228" s="233">
        <f>_xlfn.XLOOKUP(G228,'Master Budget'!$G$4:$G$360,'Master Budget'!$P$4:$P$360,0)</f>
        <v>600</v>
      </c>
    </row>
    <row r="229" spans="1:14" x14ac:dyDescent="0.25">
      <c r="A229">
        <v>233</v>
      </c>
      <c r="B229" t="s">
        <v>102</v>
      </c>
      <c r="C229" s="234">
        <v>51</v>
      </c>
      <c r="D229">
        <v>200</v>
      </c>
      <c r="E229" t="s">
        <v>10</v>
      </c>
      <c r="F229" t="str">
        <f t="shared" si="7"/>
        <v>200 - General and Administrative</v>
      </c>
      <c r="G229" t="s">
        <v>616</v>
      </c>
      <c r="H229" t="s">
        <v>1054</v>
      </c>
      <c r="I229" s="155">
        <v>6464.27</v>
      </c>
      <c r="J229" s="155">
        <v>7458.45</v>
      </c>
      <c r="K229" s="155">
        <f t="shared" si="8"/>
        <v>9944.6</v>
      </c>
      <c r="L229" s="155">
        <v>7000</v>
      </c>
      <c r="M229" s="233">
        <f>_xlfn.XLOOKUP(G229,'Master Budget'!$G$4:$G$360,'Master Budget'!$O$4:$O$360,0)</f>
        <v>9000</v>
      </c>
      <c r="N229" s="233">
        <f>_xlfn.XLOOKUP(G229,'Master Budget'!$G$4:$G$360,'Master Budget'!$P$4:$P$360,0)</f>
        <v>9000</v>
      </c>
    </row>
    <row r="230" spans="1:14" x14ac:dyDescent="0.25">
      <c r="A230">
        <v>234</v>
      </c>
      <c r="B230" t="s">
        <v>102</v>
      </c>
      <c r="C230" s="234">
        <v>51</v>
      </c>
      <c r="D230">
        <v>200</v>
      </c>
      <c r="E230" t="s">
        <v>10</v>
      </c>
      <c r="F230" t="str">
        <f t="shared" si="7"/>
        <v>200 - General and Administrative</v>
      </c>
      <c r="G230" t="s">
        <v>617</v>
      </c>
      <c r="H230" t="s">
        <v>1055</v>
      </c>
      <c r="I230" s="155">
        <v>4667.6400000000003</v>
      </c>
      <c r="J230" s="155">
        <v>8796.9</v>
      </c>
      <c r="K230" s="155">
        <f t="shared" si="8"/>
        <v>11729.199999999999</v>
      </c>
      <c r="L230" s="155">
        <v>6500</v>
      </c>
      <c r="M230" s="233">
        <f>_xlfn.XLOOKUP(G230,'Master Budget'!$G$4:$G$360,'Master Budget'!$O$4:$O$360,0)</f>
        <v>12000</v>
      </c>
      <c r="N230" s="233">
        <f>_xlfn.XLOOKUP(G230,'Master Budget'!$G$4:$G$360,'Master Budget'!$P$4:$P$360,0)</f>
        <v>12000</v>
      </c>
    </row>
    <row r="231" spans="1:14" x14ac:dyDescent="0.25">
      <c r="A231">
        <v>235</v>
      </c>
      <c r="B231" t="s">
        <v>102</v>
      </c>
      <c r="C231" s="234">
        <v>51</v>
      </c>
      <c r="D231">
        <v>200</v>
      </c>
      <c r="E231" t="s">
        <v>10</v>
      </c>
      <c r="F231" t="str">
        <f t="shared" si="7"/>
        <v>200 - General and Administrative</v>
      </c>
      <c r="G231" t="s">
        <v>618</v>
      </c>
      <c r="H231" t="s">
        <v>124</v>
      </c>
      <c r="I231" s="155">
        <v>6815.08</v>
      </c>
      <c r="J231" s="155">
        <v>7418.57</v>
      </c>
      <c r="K231" s="155">
        <f t="shared" si="8"/>
        <v>9891.4266666666663</v>
      </c>
      <c r="L231" s="155">
        <v>10000</v>
      </c>
      <c r="M231" s="233">
        <f>_xlfn.XLOOKUP(G231,'Master Budget'!$G$4:$G$360,'Master Budget'!$O$4:$O$360,0)</f>
        <v>10000</v>
      </c>
      <c r="N231" s="233">
        <f>_xlfn.XLOOKUP(G231,'Master Budget'!$G$4:$G$360,'Master Budget'!$P$4:$P$360,0)</f>
        <v>10000</v>
      </c>
    </row>
    <row r="232" spans="1:14" x14ac:dyDescent="0.25">
      <c r="A232">
        <v>236</v>
      </c>
      <c r="B232" t="s">
        <v>102</v>
      </c>
      <c r="C232" s="234">
        <v>51</v>
      </c>
      <c r="D232">
        <v>200</v>
      </c>
      <c r="E232" t="s">
        <v>10</v>
      </c>
      <c r="F232" t="str">
        <f t="shared" si="7"/>
        <v>200 - General and Administrative</v>
      </c>
      <c r="G232" t="s">
        <v>619</v>
      </c>
      <c r="H232" t="s">
        <v>126</v>
      </c>
      <c r="I232" s="155">
        <v>4064.39</v>
      </c>
      <c r="J232" s="155">
        <v>2475.38</v>
      </c>
      <c r="K232" s="155">
        <f t="shared" si="8"/>
        <v>3300.5066666666667</v>
      </c>
      <c r="L232" s="155">
        <v>8000</v>
      </c>
      <c r="M232" s="233">
        <f>_xlfn.XLOOKUP(G232,'Master Budget'!$G$4:$G$360,'Master Budget'!$O$4:$O$360,0)</f>
        <v>8000</v>
      </c>
      <c r="N232" s="233">
        <f>_xlfn.XLOOKUP(G232,'Master Budget'!$G$4:$G$360,'Master Budget'!$P$4:$P$360,0)</f>
        <v>8000</v>
      </c>
    </row>
    <row r="233" spans="1:14" x14ac:dyDescent="0.25">
      <c r="A233">
        <v>237</v>
      </c>
      <c r="B233" t="s">
        <v>102</v>
      </c>
      <c r="C233" s="234">
        <v>51</v>
      </c>
      <c r="D233">
        <v>200</v>
      </c>
      <c r="E233" t="s">
        <v>10</v>
      </c>
      <c r="F233" t="str">
        <f t="shared" si="7"/>
        <v>200 - General and Administrative</v>
      </c>
      <c r="G233" t="s">
        <v>620</v>
      </c>
      <c r="H233" t="s">
        <v>287</v>
      </c>
      <c r="I233" s="155">
        <v>6539.77</v>
      </c>
      <c r="J233" s="155">
        <v>2533.35</v>
      </c>
      <c r="K233" s="155">
        <f t="shared" si="8"/>
        <v>3377.8</v>
      </c>
      <c r="L233" s="155">
        <v>6000</v>
      </c>
      <c r="M233" s="233">
        <f>_xlfn.XLOOKUP(G233,'Master Budget'!$G$4:$G$360,'Master Budget'!$O$4:$O$360,0)</f>
        <v>6000</v>
      </c>
      <c r="N233" s="233">
        <f>_xlfn.XLOOKUP(G233,'Master Budget'!$G$4:$G$360,'Master Budget'!$P$4:$P$360,0)</f>
        <v>6000</v>
      </c>
    </row>
    <row r="234" spans="1:14" x14ac:dyDescent="0.25">
      <c r="A234">
        <v>238</v>
      </c>
      <c r="B234" t="s">
        <v>102</v>
      </c>
      <c r="C234" s="234">
        <v>51</v>
      </c>
      <c r="D234">
        <v>200</v>
      </c>
      <c r="E234" t="s">
        <v>10</v>
      </c>
      <c r="F234" t="str">
        <f t="shared" si="7"/>
        <v>200 - General and Administrative</v>
      </c>
      <c r="G234" t="s">
        <v>621</v>
      </c>
      <c r="H234" t="s">
        <v>132</v>
      </c>
      <c r="I234" s="155">
        <v>23060.75</v>
      </c>
      <c r="J234" s="155">
        <v>11654.73</v>
      </c>
      <c r="K234" s="155">
        <f t="shared" si="8"/>
        <v>15539.64</v>
      </c>
      <c r="L234" s="155">
        <v>25000</v>
      </c>
      <c r="M234" s="233">
        <f>_xlfn.XLOOKUP(G234,'Master Budget'!$G$4:$G$360,'Master Budget'!$O$4:$O$360,0)</f>
        <v>25000</v>
      </c>
      <c r="N234" s="233">
        <f>_xlfn.XLOOKUP(G234,'Master Budget'!$G$4:$G$360,'Master Budget'!$P$4:$P$360,0)</f>
        <v>25000</v>
      </c>
    </row>
    <row r="235" spans="1:14" x14ac:dyDescent="0.25">
      <c r="A235">
        <v>239</v>
      </c>
      <c r="B235" t="s">
        <v>102</v>
      </c>
      <c r="C235" s="234">
        <v>51</v>
      </c>
      <c r="D235">
        <v>200</v>
      </c>
      <c r="E235" t="s">
        <v>10</v>
      </c>
      <c r="F235" t="str">
        <f t="shared" si="7"/>
        <v>200 - General and Administrative</v>
      </c>
      <c r="G235" t="s">
        <v>622</v>
      </c>
      <c r="H235" t="s">
        <v>291</v>
      </c>
      <c r="I235" s="155">
        <v>347.44</v>
      </c>
      <c r="J235" s="155">
        <v>30.2</v>
      </c>
      <c r="K235" s="155">
        <f t="shared" si="8"/>
        <v>40.266666666666666</v>
      </c>
      <c r="L235" s="155">
        <v>300</v>
      </c>
      <c r="M235" s="233">
        <f>_xlfn.XLOOKUP(G235,'Master Budget'!$G$4:$G$360,'Master Budget'!$O$4:$O$360,0)</f>
        <v>300</v>
      </c>
      <c r="N235" s="233">
        <f>_xlfn.XLOOKUP(G235,'Master Budget'!$G$4:$G$360,'Master Budget'!$P$4:$P$360,0)</f>
        <v>300</v>
      </c>
    </row>
    <row r="236" spans="1:14" x14ac:dyDescent="0.25">
      <c r="A236">
        <v>240</v>
      </c>
      <c r="B236" t="s">
        <v>102</v>
      </c>
      <c r="C236" s="234">
        <v>51</v>
      </c>
      <c r="D236">
        <v>200</v>
      </c>
      <c r="E236" t="s">
        <v>10</v>
      </c>
      <c r="F236" t="str">
        <f t="shared" si="7"/>
        <v>200 - General and Administrative</v>
      </c>
      <c r="G236" t="s">
        <v>623</v>
      </c>
      <c r="H236" t="s">
        <v>295</v>
      </c>
      <c r="I236" s="155">
        <v>4215.1000000000004</v>
      </c>
      <c r="J236" s="155">
        <v>630.36</v>
      </c>
      <c r="K236" s="155">
        <f t="shared" si="8"/>
        <v>840.48</v>
      </c>
      <c r="L236" s="155"/>
      <c r="M236" s="233">
        <f>_xlfn.XLOOKUP(G236,'Master Budget'!$G$4:$G$360,'Master Budget'!$O$4:$O$360,0)</f>
        <v>0</v>
      </c>
      <c r="N236" s="233">
        <f>_xlfn.XLOOKUP(G236,'Master Budget'!$G$4:$G$360,'Master Budget'!$P$4:$P$360,0)</f>
        <v>0</v>
      </c>
    </row>
    <row r="237" spans="1:14" x14ac:dyDescent="0.25">
      <c r="A237">
        <v>241</v>
      </c>
      <c r="B237" t="s">
        <v>102</v>
      </c>
      <c r="C237" s="234">
        <v>51</v>
      </c>
      <c r="D237">
        <v>200</v>
      </c>
      <c r="E237" t="s">
        <v>10</v>
      </c>
      <c r="F237" t="str">
        <f t="shared" si="7"/>
        <v>200 - General and Administrative</v>
      </c>
      <c r="G237" t="s">
        <v>624</v>
      </c>
      <c r="H237" t="s">
        <v>297</v>
      </c>
      <c r="I237" s="155">
        <v>5683.39</v>
      </c>
      <c r="J237" s="155">
        <v>4518.87</v>
      </c>
      <c r="K237" s="155">
        <f t="shared" si="8"/>
        <v>6025.16</v>
      </c>
      <c r="L237" s="155">
        <v>6500</v>
      </c>
      <c r="M237" s="233">
        <f>_xlfn.XLOOKUP(G237,'Master Budget'!$G$4:$G$360,'Master Budget'!$O$4:$O$360,0)</f>
        <v>7000</v>
      </c>
      <c r="N237" s="233">
        <f>_xlfn.XLOOKUP(G237,'Master Budget'!$G$4:$G$360,'Master Budget'!$P$4:$P$360,0)</f>
        <v>14000</v>
      </c>
    </row>
    <row r="238" spans="1:14" x14ac:dyDescent="0.25">
      <c r="A238">
        <v>242</v>
      </c>
      <c r="B238" t="s">
        <v>102</v>
      </c>
      <c r="C238" s="234">
        <v>51</v>
      </c>
      <c r="D238">
        <v>200</v>
      </c>
      <c r="E238" t="s">
        <v>10</v>
      </c>
      <c r="F238" t="str">
        <f t="shared" si="7"/>
        <v>200 - General and Administrative</v>
      </c>
      <c r="G238" t="s">
        <v>625</v>
      </c>
      <c r="H238" t="s">
        <v>303</v>
      </c>
      <c r="I238" s="155">
        <v>14559.77</v>
      </c>
      <c r="J238" s="155">
        <v>17254.36</v>
      </c>
      <c r="K238" s="155">
        <f t="shared" si="8"/>
        <v>23005.813333333335</v>
      </c>
      <c r="L238" s="155">
        <v>18000</v>
      </c>
      <c r="M238" s="233">
        <f>_xlfn.XLOOKUP(G238,'Master Budget'!$G$4:$G$360,'Master Budget'!$O$4:$O$360,0)</f>
        <v>18000</v>
      </c>
      <c r="N238" s="233">
        <f>_xlfn.XLOOKUP(G238,'Master Budget'!$G$4:$G$360,'Master Budget'!$P$4:$P$360,0)</f>
        <v>18000</v>
      </c>
    </row>
    <row r="239" spans="1:14" x14ac:dyDescent="0.25">
      <c r="A239">
        <v>243</v>
      </c>
      <c r="B239" t="s">
        <v>102</v>
      </c>
      <c r="C239" s="234">
        <v>51</v>
      </c>
      <c r="D239">
        <v>200</v>
      </c>
      <c r="E239" t="s">
        <v>10</v>
      </c>
      <c r="F239" t="str">
        <f t="shared" si="7"/>
        <v>200 - General and Administrative</v>
      </c>
      <c r="G239" t="s">
        <v>848</v>
      </c>
      <c r="H239" t="s">
        <v>771</v>
      </c>
      <c r="I239" s="155">
        <v>0</v>
      </c>
      <c r="J239" s="155">
        <v>3168.9</v>
      </c>
      <c r="K239" s="155">
        <f t="shared" si="8"/>
        <v>4225.2000000000007</v>
      </c>
      <c r="L239" s="155"/>
      <c r="M239" s="233">
        <f>_xlfn.XLOOKUP(G239,'Master Budget'!$G$4:$G$360,'Master Budget'!$O$4:$O$360,0)</f>
        <v>0</v>
      </c>
      <c r="N239" s="233">
        <f>_xlfn.XLOOKUP(G239,'Master Budget'!$G$4:$G$360,'Master Budget'!$P$4:$P$360,0)</f>
        <v>0</v>
      </c>
    </row>
    <row r="240" spans="1:14" x14ac:dyDescent="0.25">
      <c r="A240">
        <v>244</v>
      </c>
      <c r="B240" t="s">
        <v>102</v>
      </c>
      <c r="C240" s="234">
        <v>51</v>
      </c>
      <c r="D240">
        <v>500</v>
      </c>
      <c r="E240" t="s">
        <v>11</v>
      </c>
      <c r="F240" t="str">
        <f t="shared" si="7"/>
        <v>500 - Repairs and Maintenance</v>
      </c>
      <c r="G240" t="s">
        <v>626</v>
      </c>
      <c r="H240" t="s">
        <v>754</v>
      </c>
      <c r="I240" s="155">
        <v>1043.73</v>
      </c>
      <c r="J240" s="155">
        <v>1163.1199999999999</v>
      </c>
      <c r="K240" s="155">
        <f t="shared" si="8"/>
        <v>1550.8266666666666</v>
      </c>
      <c r="L240" s="155">
        <v>1850</v>
      </c>
      <c r="M240" s="233">
        <f>_xlfn.XLOOKUP(G240,'Master Budget'!$G$4:$G$360,'Master Budget'!$O$4:$O$360,0)</f>
        <v>1850</v>
      </c>
      <c r="N240" s="233">
        <f>_xlfn.XLOOKUP(G240,'Master Budget'!$G$4:$G$360,'Master Budget'!$P$4:$P$360,0)</f>
        <v>2500</v>
      </c>
    </row>
    <row r="241" spans="1:14" x14ac:dyDescent="0.25">
      <c r="A241">
        <v>245</v>
      </c>
      <c r="B241" t="s">
        <v>102</v>
      </c>
      <c r="C241" s="234">
        <v>51</v>
      </c>
      <c r="D241">
        <v>500</v>
      </c>
      <c r="E241" t="s">
        <v>11</v>
      </c>
      <c r="F241" t="str">
        <f t="shared" si="7"/>
        <v>500 - Repairs and Maintenance</v>
      </c>
      <c r="G241" t="s">
        <v>628</v>
      </c>
      <c r="H241" t="s">
        <v>311</v>
      </c>
      <c r="I241" s="155">
        <v>2479.7399999999998</v>
      </c>
      <c r="J241" s="155">
        <v>2275.4499999999998</v>
      </c>
      <c r="K241" s="155">
        <f t="shared" si="8"/>
        <v>3033.9333333333329</v>
      </c>
      <c r="L241" s="155">
        <v>3000</v>
      </c>
      <c r="M241" s="233">
        <f>_xlfn.XLOOKUP(G241,'Master Budget'!$G$4:$G$360,'Master Budget'!$O$4:$O$360,0)</f>
        <v>3500</v>
      </c>
      <c r="N241" s="233">
        <f>_xlfn.XLOOKUP(G241,'Master Budget'!$G$4:$G$360,'Master Budget'!$P$4:$P$360,0)</f>
        <v>3500</v>
      </c>
    </row>
    <row r="242" spans="1:14" x14ac:dyDescent="0.25">
      <c r="A242">
        <v>246</v>
      </c>
      <c r="B242" t="s">
        <v>102</v>
      </c>
      <c r="C242" s="234">
        <v>51</v>
      </c>
      <c r="D242">
        <v>500</v>
      </c>
      <c r="E242" t="s">
        <v>11</v>
      </c>
      <c r="F242" t="str">
        <f t="shared" si="7"/>
        <v>500 - Repairs and Maintenance</v>
      </c>
      <c r="G242" t="s">
        <v>629</v>
      </c>
      <c r="H242" t="s">
        <v>313</v>
      </c>
      <c r="I242" s="155">
        <v>3245.81</v>
      </c>
      <c r="J242" s="155">
        <v>8486.24</v>
      </c>
      <c r="K242" s="155">
        <f t="shared" si="8"/>
        <v>11314.986666666668</v>
      </c>
      <c r="L242" s="155">
        <v>3000</v>
      </c>
      <c r="M242" s="233">
        <f>_xlfn.XLOOKUP(G242,'Master Budget'!$G$4:$G$360,'Master Budget'!$O$4:$O$360,0)</f>
        <v>10000</v>
      </c>
      <c r="N242" s="233">
        <f>_xlfn.XLOOKUP(G242,'Master Budget'!$G$4:$G$360,'Master Budget'!$P$4:$P$360,0)</f>
        <v>5000</v>
      </c>
    </row>
    <row r="243" spans="1:14" x14ac:dyDescent="0.25">
      <c r="A243">
        <v>247</v>
      </c>
      <c r="B243" t="s">
        <v>102</v>
      </c>
      <c r="C243" s="234">
        <v>51</v>
      </c>
      <c r="D243">
        <v>500</v>
      </c>
      <c r="E243" t="s">
        <v>11</v>
      </c>
      <c r="F243" t="str">
        <f t="shared" si="7"/>
        <v>500 - Repairs and Maintenance</v>
      </c>
      <c r="G243" t="s">
        <v>1079</v>
      </c>
      <c r="H243" t="s">
        <v>144</v>
      </c>
      <c r="I243" s="155">
        <v>0</v>
      </c>
      <c r="J243" s="155">
        <v>0</v>
      </c>
      <c r="K243" s="155">
        <f t="shared" si="8"/>
        <v>0</v>
      </c>
      <c r="L243" s="155">
        <v>0</v>
      </c>
      <c r="M243" s="233">
        <f>_xlfn.XLOOKUP(G243,'Master Budget'!$G$4:$G$360,'Master Budget'!$O$4:$O$360,0)</f>
        <v>0</v>
      </c>
      <c r="N243" s="233">
        <f>_xlfn.XLOOKUP(G243,'Master Budget'!$G$4:$G$360,'Master Budget'!$P$4:$P$360,0)</f>
        <v>0</v>
      </c>
    </row>
    <row r="244" spans="1:14" x14ac:dyDescent="0.25">
      <c r="A244">
        <v>248</v>
      </c>
      <c r="B244" t="s">
        <v>102</v>
      </c>
      <c r="C244" s="234">
        <v>51</v>
      </c>
      <c r="D244">
        <v>200</v>
      </c>
      <c r="E244" t="s">
        <v>10</v>
      </c>
      <c r="F244" t="str">
        <f t="shared" si="7"/>
        <v>200 - General and Administrative</v>
      </c>
      <c r="G244" t="s">
        <v>630</v>
      </c>
      <c r="H244" t="s">
        <v>498</v>
      </c>
      <c r="I244" s="155">
        <v>0</v>
      </c>
      <c r="J244" s="155">
        <v>0</v>
      </c>
      <c r="K244" s="155">
        <f t="shared" si="8"/>
        <v>0</v>
      </c>
      <c r="L244" s="155">
        <v>0</v>
      </c>
      <c r="M244" s="233">
        <f>_xlfn.XLOOKUP(G244,'Master Budget'!$G$4:$G$360,'Master Budget'!$O$4:$O$360,0)</f>
        <v>0</v>
      </c>
      <c r="N244" s="233">
        <f>_xlfn.XLOOKUP(G244,'Master Budget'!$G$4:$G$360,'Master Budget'!$P$4:$P$360,0)</f>
        <v>0</v>
      </c>
    </row>
    <row r="245" spans="1:14" x14ac:dyDescent="0.25">
      <c r="A245">
        <v>249</v>
      </c>
      <c r="B245" t="s">
        <v>102</v>
      </c>
      <c r="C245" s="234">
        <v>51</v>
      </c>
      <c r="D245">
        <v>200</v>
      </c>
      <c r="E245" t="s">
        <v>10</v>
      </c>
      <c r="F245" t="str">
        <f t="shared" si="7"/>
        <v>200 - General and Administrative</v>
      </c>
      <c r="G245" t="s">
        <v>631</v>
      </c>
      <c r="H245" t="s">
        <v>322</v>
      </c>
      <c r="I245" s="155">
        <v>0</v>
      </c>
      <c r="J245" s="155">
        <v>0</v>
      </c>
      <c r="K245" s="155">
        <f t="shared" si="8"/>
        <v>0</v>
      </c>
      <c r="L245" s="155">
        <v>8100</v>
      </c>
      <c r="M245" s="233">
        <f>_xlfn.XLOOKUP(G245,'Master Budget'!$G$4:$G$360,'Master Budget'!$O$4:$O$360,0)</f>
        <v>0</v>
      </c>
      <c r="N245" s="233">
        <f>_xlfn.XLOOKUP(G245,'Master Budget'!$G$4:$G$360,'Master Budget'!$P$4:$P$360,0)</f>
        <v>0</v>
      </c>
    </row>
    <row r="246" spans="1:14" x14ac:dyDescent="0.25">
      <c r="A246">
        <v>250</v>
      </c>
      <c r="B246" t="s">
        <v>102</v>
      </c>
      <c r="C246" s="234">
        <v>51</v>
      </c>
      <c r="D246">
        <v>200</v>
      </c>
      <c r="E246" t="s">
        <v>10</v>
      </c>
      <c r="F246" t="str">
        <f t="shared" si="7"/>
        <v>200 - General and Administrative</v>
      </c>
      <c r="G246" t="s">
        <v>632</v>
      </c>
      <c r="H246" t="s">
        <v>1080</v>
      </c>
      <c r="I246" s="155">
        <v>5364.76</v>
      </c>
      <c r="J246" s="155">
        <v>4397.32</v>
      </c>
      <c r="K246" s="155">
        <f t="shared" si="8"/>
        <v>5863.0933333333332</v>
      </c>
      <c r="L246" s="155">
        <v>6000</v>
      </c>
      <c r="M246" s="233">
        <f>_xlfn.XLOOKUP(G246,'Master Budget'!$G$4:$G$360,'Master Budget'!$O$4:$O$360,0)</f>
        <v>6000</v>
      </c>
      <c r="N246" s="233">
        <f>_xlfn.XLOOKUP(G246,'Master Budget'!$G$4:$G$360,'Master Budget'!$P$4:$P$360,0)</f>
        <v>6000</v>
      </c>
    </row>
    <row r="247" spans="1:14" x14ac:dyDescent="0.25">
      <c r="A247">
        <v>251</v>
      </c>
      <c r="B247" t="s">
        <v>102</v>
      </c>
      <c r="C247" s="234">
        <v>51</v>
      </c>
      <c r="D247">
        <v>200</v>
      </c>
      <c r="E247" t="s">
        <v>10</v>
      </c>
      <c r="F247" t="str">
        <f t="shared" si="7"/>
        <v>200 - General and Administrative</v>
      </c>
      <c r="G247" t="s">
        <v>634</v>
      </c>
      <c r="H247" t="s">
        <v>1069</v>
      </c>
      <c r="I247" s="155">
        <v>1115.26</v>
      </c>
      <c r="J247" s="155">
        <v>1698.22</v>
      </c>
      <c r="K247" s="155">
        <f t="shared" si="8"/>
        <v>2264.2933333333335</v>
      </c>
      <c r="L247" s="155">
        <v>1600</v>
      </c>
      <c r="M247" s="233">
        <f>_xlfn.XLOOKUP(G247,'Master Budget'!$G$4:$G$360,'Master Budget'!$O$4:$O$360,0)</f>
        <v>2000</v>
      </c>
      <c r="N247" s="233">
        <f>_xlfn.XLOOKUP(G247,'Master Budget'!$G$4:$G$360,'Master Budget'!$P$4:$P$360,0)</f>
        <v>2000</v>
      </c>
    </row>
    <row r="248" spans="1:14" x14ac:dyDescent="0.25">
      <c r="A248">
        <v>252</v>
      </c>
      <c r="B248" t="s">
        <v>102</v>
      </c>
      <c r="C248" s="234">
        <v>51</v>
      </c>
      <c r="D248">
        <v>200</v>
      </c>
      <c r="E248" t="s">
        <v>10</v>
      </c>
      <c r="F248" t="str">
        <f t="shared" si="7"/>
        <v>200 - General and Administrative</v>
      </c>
      <c r="G248" t="s">
        <v>1081</v>
      </c>
      <c r="H248" t="s">
        <v>1063</v>
      </c>
      <c r="I248" s="155">
        <v>0</v>
      </c>
      <c r="J248" s="155">
        <v>0</v>
      </c>
      <c r="K248" s="155">
        <f t="shared" si="8"/>
        <v>0</v>
      </c>
      <c r="L248" s="155">
        <v>0</v>
      </c>
      <c r="M248" s="233">
        <f>_xlfn.XLOOKUP(G248,'Master Budget'!$G$4:$G$360,'Master Budget'!$O$4:$O$360,0)</f>
        <v>0</v>
      </c>
      <c r="N248" s="233">
        <f>_xlfn.XLOOKUP(G248,'Master Budget'!$G$4:$G$360,'Master Budget'!$P$4:$P$360,0)</f>
        <v>0</v>
      </c>
    </row>
    <row r="249" spans="1:14" x14ac:dyDescent="0.25">
      <c r="A249">
        <v>253</v>
      </c>
      <c r="B249" t="s">
        <v>102</v>
      </c>
      <c r="C249" s="234">
        <v>51</v>
      </c>
      <c r="D249">
        <v>200</v>
      </c>
      <c r="E249" t="s">
        <v>10</v>
      </c>
      <c r="F249" t="str">
        <f t="shared" si="7"/>
        <v>200 - General and Administrative</v>
      </c>
      <c r="G249" t="s">
        <v>635</v>
      </c>
      <c r="H249" t="s">
        <v>1082</v>
      </c>
      <c r="I249" s="155">
        <v>530.61</v>
      </c>
      <c r="J249" s="155">
        <v>535.76</v>
      </c>
      <c r="K249" s="155">
        <f t="shared" si="8"/>
        <v>714.34666666666658</v>
      </c>
      <c r="L249" s="155">
        <v>1500</v>
      </c>
      <c r="M249" s="233">
        <f>_xlfn.XLOOKUP(G249,'Master Budget'!$G$4:$G$360,'Master Budget'!$O$4:$O$360,0)</f>
        <v>1500</v>
      </c>
      <c r="N249" s="233">
        <f>_xlfn.XLOOKUP(G249,'Master Budget'!$G$4:$G$360,'Master Budget'!$P$4:$P$360,0)</f>
        <v>1500</v>
      </c>
    </row>
    <row r="250" spans="1:14" x14ac:dyDescent="0.25">
      <c r="A250">
        <v>254</v>
      </c>
      <c r="B250" t="s">
        <v>102</v>
      </c>
      <c r="C250" s="234">
        <v>51</v>
      </c>
      <c r="D250">
        <v>200</v>
      </c>
      <c r="E250" t="s">
        <v>10</v>
      </c>
      <c r="F250" t="str">
        <f t="shared" si="7"/>
        <v>200 - General and Administrative</v>
      </c>
      <c r="G250" t="s">
        <v>637</v>
      </c>
      <c r="H250" t="s">
        <v>162</v>
      </c>
      <c r="I250" s="155">
        <v>891.44</v>
      </c>
      <c r="J250" s="155">
        <v>673.61</v>
      </c>
      <c r="K250" s="155">
        <f t="shared" si="8"/>
        <v>898.14666666666676</v>
      </c>
      <c r="L250" s="155">
        <v>1000</v>
      </c>
      <c r="M250" s="233">
        <f>_xlfn.XLOOKUP(G250,'Master Budget'!$G$4:$G$360,'Master Budget'!$O$4:$O$360,0)</f>
        <v>1000</v>
      </c>
      <c r="N250" s="233">
        <f>_xlfn.XLOOKUP(G250,'Master Budget'!$G$4:$G$360,'Master Budget'!$P$4:$P$360,0)</f>
        <v>1000</v>
      </c>
    </row>
    <row r="251" spans="1:14" x14ac:dyDescent="0.25">
      <c r="A251">
        <v>255</v>
      </c>
      <c r="B251" t="s">
        <v>102</v>
      </c>
      <c r="C251" s="234">
        <v>51</v>
      </c>
      <c r="D251">
        <v>200</v>
      </c>
      <c r="E251" t="s">
        <v>10</v>
      </c>
      <c r="F251" t="str">
        <f t="shared" si="7"/>
        <v>200 - General and Administrative</v>
      </c>
      <c r="G251" t="s">
        <v>638</v>
      </c>
      <c r="H251" t="s">
        <v>348</v>
      </c>
      <c r="I251" s="155">
        <v>923.1</v>
      </c>
      <c r="J251" s="155">
        <v>429.79</v>
      </c>
      <c r="K251" s="155">
        <f t="shared" si="8"/>
        <v>573.05333333333328</v>
      </c>
      <c r="L251" s="155">
        <v>1500</v>
      </c>
      <c r="M251" s="233">
        <f>_xlfn.XLOOKUP(G251,'Master Budget'!$G$4:$G$360,'Master Budget'!$O$4:$O$360,0)</f>
        <v>2000</v>
      </c>
      <c r="N251" s="233">
        <f>_xlfn.XLOOKUP(G251,'Master Budget'!$G$4:$G$360,'Master Budget'!$P$4:$P$360,0)</f>
        <v>2000</v>
      </c>
    </row>
    <row r="252" spans="1:14" x14ac:dyDescent="0.25">
      <c r="A252">
        <v>256</v>
      </c>
      <c r="B252" t="s">
        <v>102</v>
      </c>
      <c r="C252" s="234">
        <v>51</v>
      </c>
      <c r="D252">
        <v>200</v>
      </c>
      <c r="E252" t="s">
        <v>10</v>
      </c>
      <c r="F252" t="str">
        <f t="shared" si="7"/>
        <v>200 - General and Administrative</v>
      </c>
      <c r="G252" t="s">
        <v>639</v>
      </c>
      <c r="H252" t="s">
        <v>130</v>
      </c>
      <c r="I252" s="155">
        <v>91800.25</v>
      </c>
      <c r="J252" s="155">
        <v>16938.63</v>
      </c>
      <c r="K252" s="155">
        <f t="shared" si="8"/>
        <v>22584.840000000004</v>
      </c>
      <c r="L252" s="155">
        <v>100000</v>
      </c>
      <c r="M252" s="233">
        <f>_xlfn.XLOOKUP(G252,'Master Budget'!$G$4:$G$360,'Master Budget'!$O$4:$O$360,0)</f>
        <v>100000</v>
      </c>
      <c r="N252" s="233">
        <f>_xlfn.XLOOKUP(G252,'Master Budget'!$G$4:$G$360,'Master Budget'!$P$4:$P$360,0)</f>
        <v>100000</v>
      </c>
    </row>
    <row r="253" spans="1:14" x14ac:dyDescent="0.25">
      <c r="A253">
        <v>257</v>
      </c>
      <c r="B253" t="s">
        <v>102</v>
      </c>
      <c r="C253" s="234">
        <v>51</v>
      </c>
      <c r="D253">
        <v>200</v>
      </c>
      <c r="E253" t="s">
        <v>10</v>
      </c>
      <c r="F253" t="str">
        <f t="shared" si="7"/>
        <v>200 - General and Administrative</v>
      </c>
      <c r="G253" t="s">
        <v>640</v>
      </c>
      <c r="H253" t="s">
        <v>132</v>
      </c>
      <c r="I253" s="155">
        <v>0</v>
      </c>
      <c r="J253" s="155">
        <v>0</v>
      </c>
      <c r="K253" s="155">
        <f t="shared" si="8"/>
        <v>0</v>
      </c>
      <c r="L253" s="155">
        <v>0</v>
      </c>
      <c r="M253" s="233">
        <f>_xlfn.XLOOKUP(G253,'Master Budget'!$G$4:$G$360,'Master Budget'!$O$4:$O$360,0)</f>
        <v>0</v>
      </c>
      <c r="N253" s="233">
        <f>_xlfn.XLOOKUP(G253,'Master Budget'!$G$4:$G$360,'Master Budget'!$P$4:$P$360,0)</f>
        <v>0</v>
      </c>
    </row>
    <row r="254" spans="1:14" x14ac:dyDescent="0.25">
      <c r="A254">
        <v>258</v>
      </c>
      <c r="B254" t="s">
        <v>102</v>
      </c>
      <c r="C254" s="234">
        <v>51</v>
      </c>
      <c r="D254">
        <v>200</v>
      </c>
      <c r="E254" t="s">
        <v>10</v>
      </c>
      <c r="F254" t="str">
        <f t="shared" ref="F254:F317" si="9">D254&amp;" - "&amp;E254</f>
        <v>200 - General and Administrative</v>
      </c>
      <c r="G254" t="s">
        <v>641</v>
      </c>
      <c r="H254" t="s">
        <v>1083</v>
      </c>
      <c r="I254" s="155">
        <v>5916.02</v>
      </c>
      <c r="J254" s="155">
        <v>4105.51</v>
      </c>
      <c r="K254" s="155">
        <f t="shared" si="8"/>
        <v>5474.0133333333342</v>
      </c>
      <c r="L254" s="155">
        <v>14000</v>
      </c>
      <c r="M254" s="233">
        <f>_xlfn.XLOOKUP(G254,'Master Budget'!$G$4:$G$360,'Master Budget'!$O$4:$O$360,0)</f>
        <v>14000</v>
      </c>
      <c r="N254" s="233">
        <f>_xlfn.XLOOKUP(G254,'Master Budget'!$G$4:$G$360,'Master Budget'!$P$4:$P$360,0)</f>
        <v>14000</v>
      </c>
    </row>
    <row r="255" spans="1:14" x14ac:dyDescent="0.25">
      <c r="A255">
        <v>259</v>
      </c>
      <c r="B255" t="s">
        <v>102</v>
      </c>
      <c r="C255" s="234">
        <v>51</v>
      </c>
      <c r="D255">
        <v>200</v>
      </c>
      <c r="E255" t="s">
        <v>10</v>
      </c>
      <c r="F255" t="str">
        <f t="shared" si="9"/>
        <v>200 - General and Administrative</v>
      </c>
      <c r="G255" t="s">
        <v>643</v>
      </c>
      <c r="H255" t="s">
        <v>766</v>
      </c>
      <c r="I255" s="155">
        <v>0</v>
      </c>
      <c r="J255" s="155">
        <v>0</v>
      </c>
      <c r="K255" s="155">
        <f t="shared" si="8"/>
        <v>0</v>
      </c>
      <c r="L255" s="155">
        <v>1000</v>
      </c>
      <c r="M255" s="233">
        <f>_xlfn.XLOOKUP(G255,'Master Budget'!$G$4:$G$360,'Master Budget'!$O$4:$O$360,0)</f>
        <v>1000</v>
      </c>
      <c r="N255" s="233">
        <f>_xlfn.XLOOKUP(G255,'Master Budget'!$G$4:$G$360,'Master Budget'!$P$4:$P$360,0)</f>
        <v>7000</v>
      </c>
    </row>
    <row r="256" spans="1:14" x14ac:dyDescent="0.25">
      <c r="A256">
        <v>260</v>
      </c>
      <c r="B256" t="s">
        <v>102</v>
      </c>
      <c r="C256" s="234">
        <v>51</v>
      </c>
      <c r="D256">
        <v>200</v>
      </c>
      <c r="E256" t="s">
        <v>10</v>
      </c>
      <c r="F256" t="str">
        <f t="shared" si="9"/>
        <v>200 - General and Administrative</v>
      </c>
      <c r="G256" t="s">
        <v>645</v>
      </c>
      <c r="H256" t="s">
        <v>646</v>
      </c>
      <c r="I256" s="155">
        <v>1676.14</v>
      </c>
      <c r="J256" s="155">
        <v>1844.07</v>
      </c>
      <c r="K256" s="155">
        <f t="shared" si="8"/>
        <v>2458.7599999999998</v>
      </c>
      <c r="L256" s="155">
        <v>4000</v>
      </c>
      <c r="M256" s="233">
        <f>_xlfn.XLOOKUP(G256,'Master Budget'!$G$4:$G$360,'Master Budget'!$O$4:$O$360,0)</f>
        <v>4000</v>
      </c>
      <c r="N256" s="233">
        <f>_xlfn.XLOOKUP(G256,'Master Budget'!$G$4:$G$360,'Master Budget'!$P$4:$P$360,0)</f>
        <v>4000</v>
      </c>
    </row>
    <row r="257" spans="1:14" x14ac:dyDescent="0.25">
      <c r="A257">
        <v>261</v>
      </c>
      <c r="B257" t="s">
        <v>102</v>
      </c>
      <c r="C257" s="234">
        <v>51</v>
      </c>
      <c r="D257">
        <v>500</v>
      </c>
      <c r="E257" t="s">
        <v>11</v>
      </c>
      <c r="F257" t="str">
        <f t="shared" si="9"/>
        <v>500 - Repairs and Maintenance</v>
      </c>
      <c r="G257" t="s">
        <v>648</v>
      </c>
      <c r="H257" t="s">
        <v>432</v>
      </c>
      <c r="I257" s="155">
        <v>17173.830000000002</v>
      </c>
      <c r="J257" s="155">
        <v>16574.21</v>
      </c>
      <c r="K257" s="155">
        <f t="shared" si="8"/>
        <v>22098.946666666663</v>
      </c>
      <c r="L257" s="155">
        <v>35000</v>
      </c>
      <c r="M257" s="233">
        <f>_xlfn.XLOOKUP(G257,'Master Budget'!$G$4:$G$360,'Master Budget'!$O$4:$O$360,0)</f>
        <v>45000</v>
      </c>
      <c r="N257" s="233">
        <f>_xlfn.XLOOKUP(G257,'Master Budget'!$G$4:$G$360,'Master Budget'!$P$4:$P$360,0)</f>
        <v>45000</v>
      </c>
    </row>
    <row r="258" spans="1:14" x14ac:dyDescent="0.25">
      <c r="A258">
        <v>262</v>
      </c>
      <c r="B258" t="s">
        <v>102</v>
      </c>
      <c r="C258" s="234">
        <v>51</v>
      </c>
      <c r="D258">
        <v>500</v>
      </c>
      <c r="E258" t="s">
        <v>11</v>
      </c>
      <c r="F258" t="str">
        <f t="shared" si="9"/>
        <v>500 - Repairs and Maintenance</v>
      </c>
      <c r="G258" t="s">
        <v>649</v>
      </c>
      <c r="H258" t="s">
        <v>1084</v>
      </c>
      <c r="I258" s="155">
        <v>67292.83</v>
      </c>
      <c r="J258" s="155">
        <v>45424.09</v>
      </c>
      <c r="K258" s="155">
        <f t="shared" si="8"/>
        <v>60565.453333333324</v>
      </c>
      <c r="L258" s="155">
        <v>60000</v>
      </c>
      <c r="M258" s="233">
        <f>_xlfn.XLOOKUP(G258,'Master Budget'!$G$4:$G$360,'Master Budget'!$O$4:$O$360,0)</f>
        <v>60000</v>
      </c>
      <c r="N258" s="233">
        <f>_xlfn.XLOOKUP(G258,'Master Budget'!$G$4:$G$360,'Master Budget'!$P$4:$P$360,0)</f>
        <v>60000</v>
      </c>
    </row>
    <row r="259" spans="1:14" x14ac:dyDescent="0.25">
      <c r="A259">
        <v>263</v>
      </c>
      <c r="B259" t="s">
        <v>102</v>
      </c>
      <c r="C259" s="234">
        <v>51</v>
      </c>
      <c r="D259">
        <v>200</v>
      </c>
      <c r="E259" t="s">
        <v>10</v>
      </c>
      <c r="F259" t="str">
        <f t="shared" si="9"/>
        <v>200 - General and Administrative</v>
      </c>
      <c r="G259" t="s">
        <v>651</v>
      </c>
      <c r="H259" t="s">
        <v>652</v>
      </c>
      <c r="I259" s="155">
        <v>504.6</v>
      </c>
      <c r="J259" s="155">
        <v>0</v>
      </c>
      <c r="K259" s="155">
        <f t="shared" si="8"/>
        <v>0</v>
      </c>
      <c r="L259" s="155">
        <v>0</v>
      </c>
      <c r="M259" s="233">
        <f>_xlfn.XLOOKUP(G259,'Master Budget'!$G$4:$G$360,'Master Budget'!$O$4:$O$360,0)</f>
        <v>0</v>
      </c>
      <c r="N259" s="233">
        <f>_xlfn.XLOOKUP(G259,'Master Budget'!$G$4:$G$360,'Master Budget'!$P$4:$P$360,0)</f>
        <v>0</v>
      </c>
    </row>
    <row r="260" spans="1:14" x14ac:dyDescent="0.25">
      <c r="A260">
        <v>264</v>
      </c>
      <c r="B260" t="s">
        <v>102</v>
      </c>
      <c r="C260" s="234">
        <v>51</v>
      </c>
      <c r="D260">
        <v>200</v>
      </c>
      <c r="E260" t="s">
        <v>10</v>
      </c>
      <c r="F260" t="str">
        <f t="shared" si="9"/>
        <v>200 - General and Administrative</v>
      </c>
      <c r="G260" t="s">
        <v>653</v>
      </c>
      <c r="H260" t="s">
        <v>654</v>
      </c>
      <c r="I260" s="155">
        <v>7650.47</v>
      </c>
      <c r="J260" s="155">
        <v>14203.59</v>
      </c>
      <c r="K260" s="155">
        <f t="shared" si="8"/>
        <v>18938.120000000003</v>
      </c>
      <c r="L260" s="155">
        <v>8000</v>
      </c>
      <c r="M260" s="233">
        <f>_xlfn.XLOOKUP(G260,'Master Budget'!$G$4:$G$360,'Master Budget'!$O$4:$O$360,0)</f>
        <v>22000</v>
      </c>
      <c r="N260" s="233">
        <f>_xlfn.XLOOKUP(G260,'Master Budget'!$G$4:$G$360,'Master Budget'!$P$4:$P$360,0)</f>
        <v>22000</v>
      </c>
    </row>
    <row r="261" spans="1:14" x14ac:dyDescent="0.25">
      <c r="A261">
        <v>265</v>
      </c>
      <c r="B261" t="s">
        <v>102</v>
      </c>
      <c r="C261" s="234">
        <v>51</v>
      </c>
      <c r="D261">
        <v>200</v>
      </c>
      <c r="E261" t="s">
        <v>10</v>
      </c>
      <c r="F261" t="str">
        <f t="shared" si="9"/>
        <v>200 - General and Administrative</v>
      </c>
      <c r="G261" t="s">
        <v>657</v>
      </c>
      <c r="H261" t="s">
        <v>658</v>
      </c>
      <c r="I261" s="155">
        <v>94.35</v>
      </c>
      <c r="J261" s="155">
        <v>5515</v>
      </c>
      <c r="K261" s="155">
        <f t="shared" si="8"/>
        <v>7353.3333333333339</v>
      </c>
      <c r="L261" s="155">
        <v>6500</v>
      </c>
      <c r="M261" s="233">
        <f>_xlfn.XLOOKUP(G261,'Master Budget'!$G$4:$G$360,'Master Budget'!$O$4:$O$360,0)</f>
        <v>6500</v>
      </c>
      <c r="N261" s="233">
        <f>_xlfn.XLOOKUP(G261,'Master Budget'!$G$4:$G$360,'Master Budget'!$P$4:$P$360,0)</f>
        <v>6500</v>
      </c>
    </row>
    <row r="262" spans="1:14" x14ac:dyDescent="0.25">
      <c r="A262">
        <v>266</v>
      </c>
      <c r="B262" t="s">
        <v>102</v>
      </c>
      <c r="C262" s="234">
        <v>51</v>
      </c>
      <c r="D262">
        <v>200</v>
      </c>
      <c r="E262" t="s">
        <v>10</v>
      </c>
      <c r="F262" t="str">
        <f t="shared" si="9"/>
        <v>200 - General and Administrative</v>
      </c>
      <c r="G262" t="s">
        <v>659</v>
      </c>
      <c r="H262" t="s">
        <v>537</v>
      </c>
      <c r="I262" s="155">
        <v>116361.03</v>
      </c>
      <c r="J262" s="155">
        <v>17343.84</v>
      </c>
      <c r="K262" s="155">
        <f t="shared" si="8"/>
        <v>23125.119999999999</v>
      </c>
      <c r="L262" s="155">
        <v>60000</v>
      </c>
      <c r="M262" s="233">
        <f>_xlfn.XLOOKUP(G262,'Master Budget'!$G$4:$G$360,'Master Budget'!$O$4:$O$360,0)</f>
        <v>60000</v>
      </c>
      <c r="N262" s="233">
        <f>_xlfn.XLOOKUP(G262,'Master Budget'!$G$4:$G$360,'Master Budget'!$P$4:$P$360,0)</f>
        <v>60000</v>
      </c>
    </row>
    <row r="263" spans="1:14" x14ac:dyDescent="0.25">
      <c r="A263">
        <v>267</v>
      </c>
      <c r="B263" t="s">
        <v>102</v>
      </c>
      <c r="C263" s="234">
        <v>51</v>
      </c>
      <c r="D263">
        <v>600</v>
      </c>
      <c r="E263" t="s">
        <v>13</v>
      </c>
      <c r="F263" t="str">
        <f t="shared" si="9"/>
        <v>600 - Bad Debt</v>
      </c>
      <c r="G263" t="s">
        <v>662</v>
      </c>
      <c r="H263" t="s">
        <v>663</v>
      </c>
      <c r="I263" s="155">
        <v>0</v>
      </c>
      <c r="J263" s="155">
        <v>0</v>
      </c>
      <c r="K263" s="155">
        <f t="shared" si="8"/>
        <v>0</v>
      </c>
      <c r="L263" s="155">
        <v>0</v>
      </c>
      <c r="M263" s="233">
        <f>_xlfn.XLOOKUP(G263,'Master Budget'!$G$4:$G$360,'Master Budget'!$O$4:$O$360,0)</f>
        <v>0</v>
      </c>
      <c r="N263" s="233">
        <f>_xlfn.XLOOKUP(G263,'Master Budget'!$G$4:$G$360,'Master Budget'!$P$4:$P$360,0)</f>
        <v>0</v>
      </c>
    </row>
    <row r="264" spans="1:14" x14ac:dyDescent="0.25">
      <c r="A264">
        <v>268</v>
      </c>
      <c r="B264" t="s">
        <v>102</v>
      </c>
      <c r="C264" s="234">
        <v>51</v>
      </c>
      <c r="D264">
        <v>970</v>
      </c>
      <c r="E264" t="s">
        <v>884</v>
      </c>
      <c r="F264" t="str">
        <f t="shared" si="9"/>
        <v>970 - Debt Principle Payments</v>
      </c>
      <c r="G264" t="s">
        <v>664</v>
      </c>
      <c r="H264" t="s">
        <v>665</v>
      </c>
      <c r="I264" s="155">
        <v>0</v>
      </c>
      <c r="J264" s="155">
        <v>0</v>
      </c>
      <c r="K264" s="155">
        <f t="shared" si="8"/>
        <v>0</v>
      </c>
      <c r="L264" s="155">
        <v>138000</v>
      </c>
      <c r="M264" s="233">
        <f>_xlfn.XLOOKUP(G264,'Master Budget'!$G$4:$G$360,'Master Budget'!$O$4:$O$360,0)</f>
        <v>138000</v>
      </c>
      <c r="N264" s="233">
        <f>_xlfn.XLOOKUP(G264,'Master Budget'!$G$4:$G$360,'Master Budget'!$P$4:$P$360,0)</f>
        <v>141000</v>
      </c>
    </row>
    <row r="265" spans="1:14" x14ac:dyDescent="0.25">
      <c r="A265">
        <v>269</v>
      </c>
      <c r="B265" t="s">
        <v>102</v>
      </c>
      <c r="C265" s="234">
        <v>51</v>
      </c>
      <c r="D265">
        <v>620</v>
      </c>
      <c r="E265" t="s">
        <v>23</v>
      </c>
      <c r="F265" t="str">
        <f t="shared" si="9"/>
        <v>620 - Interest Expense</v>
      </c>
      <c r="G265" t="s">
        <v>666</v>
      </c>
      <c r="H265" t="s">
        <v>23</v>
      </c>
      <c r="I265" s="155">
        <v>25845</v>
      </c>
      <c r="J265" s="155">
        <v>0</v>
      </c>
      <c r="K265" s="155">
        <f t="shared" si="8"/>
        <v>0</v>
      </c>
      <c r="L265" s="155">
        <v>91558</v>
      </c>
      <c r="M265" s="233">
        <f>_xlfn.XLOOKUP(G265,'Master Budget'!$G$4:$G$360,'Master Budget'!$O$4:$O$360,0)</f>
        <v>22158.400000000001</v>
      </c>
      <c r="N265" s="233">
        <f>_xlfn.XLOOKUP(G265,'Master Budget'!$G$4:$G$360,'Master Budget'!$P$4:$P$360,0)</f>
        <v>19337.5</v>
      </c>
    </row>
    <row r="266" spans="1:14" x14ac:dyDescent="0.25">
      <c r="A266">
        <v>270</v>
      </c>
      <c r="B266" t="s">
        <v>102</v>
      </c>
      <c r="C266" s="234">
        <v>51</v>
      </c>
      <c r="D266">
        <v>200</v>
      </c>
      <c r="E266" t="s">
        <v>10</v>
      </c>
      <c r="F266" t="str">
        <f t="shared" si="9"/>
        <v>200 - General and Administrative</v>
      </c>
      <c r="G266" t="s">
        <v>668</v>
      </c>
      <c r="H266" t="s">
        <v>1085</v>
      </c>
      <c r="I266" s="155">
        <v>0</v>
      </c>
      <c r="J266" s="155">
        <v>0</v>
      </c>
      <c r="K266" s="155">
        <f t="shared" si="8"/>
        <v>0</v>
      </c>
      <c r="L266" s="155">
        <v>0</v>
      </c>
      <c r="M266" s="233">
        <f>_xlfn.XLOOKUP(G266,'Master Budget'!$G$4:$G$360,'Master Budget'!$O$4:$O$360,0)</f>
        <v>0</v>
      </c>
      <c r="N266" s="233">
        <f>_xlfn.XLOOKUP(G266,'Master Budget'!$G$4:$G$360,'Master Budget'!$P$4:$P$360,0)</f>
        <v>0</v>
      </c>
    </row>
    <row r="267" spans="1:14" x14ac:dyDescent="0.25">
      <c r="A267">
        <v>271</v>
      </c>
      <c r="B267" t="s">
        <v>102</v>
      </c>
      <c r="C267" s="234">
        <v>51</v>
      </c>
      <c r="D267">
        <v>700</v>
      </c>
      <c r="E267" t="s">
        <v>12</v>
      </c>
      <c r="F267" t="str">
        <f t="shared" si="9"/>
        <v>700 - Depreciation and Amortization</v>
      </c>
      <c r="G267" t="s">
        <v>669</v>
      </c>
      <c r="H267" t="s">
        <v>43</v>
      </c>
      <c r="I267" s="155">
        <v>134778.5</v>
      </c>
      <c r="J267" s="155">
        <v>56157.7</v>
      </c>
      <c r="K267" s="155">
        <f t="shared" si="8"/>
        <v>74876.933333333334</v>
      </c>
      <c r="L267" s="155">
        <v>87202</v>
      </c>
      <c r="M267" s="233">
        <f>_xlfn.XLOOKUP(G267,'Master Budget'!$G$4:$G$360,'Master Budget'!$O$4:$O$360,0)</f>
        <v>87202</v>
      </c>
      <c r="N267" s="233">
        <f>_xlfn.XLOOKUP(G267,'Master Budget'!$G$4:$G$360,'Master Budget'!$P$4:$P$360,0)</f>
        <v>87202</v>
      </c>
    </row>
    <row r="268" spans="1:14" x14ac:dyDescent="0.25">
      <c r="A268">
        <v>272</v>
      </c>
      <c r="B268" t="s">
        <v>102</v>
      </c>
      <c r="C268" s="234">
        <v>51</v>
      </c>
      <c r="D268">
        <v>710</v>
      </c>
      <c r="E268" t="s">
        <v>1233</v>
      </c>
      <c r="F268" t="str">
        <f t="shared" si="9"/>
        <v>710 - capital Outlay</v>
      </c>
      <c r="G268" t="s">
        <v>670</v>
      </c>
      <c r="H268" t="s">
        <v>1236</v>
      </c>
      <c r="I268" s="155">
        <v>0</v>
      </c>
      <c r="J268" s="155">
        <v>0</v>
      </c>
      <c r="K268" s="155">
        <f t="shared" si="8"/>
        <v>0</v>
      </c>
      <c r="L268" s="155">
        <v>0</v>
      </c>
      <c r="M268" s="233">
        <f>_xlfn.XLOOKUP(G268,'Master Budget'!$G$4:$G$360,'Master Budget'!$O$4:$O$360,0)</f>
        <v>0</v>
      </c>
      <c r="N268" s="233">
        <f>_xlfn.XLOOKUP(G268,'Master Budget'!$G$4:$G$360,'Master Budget'!$P$4:$P$360,0)</f>
        <v>0</v>
      </c>
    </row>
    <row r="269" spans="1:14" x14ac:dyDescent="0.25">
      <c r="A269">
        <v>273</v>
      </c>
      <c r="B269" t="s">
        <v>102</v>
      </c>
      <c r="C269" s="234">
        <v>51</v>
      </c>
      <c r="D269">
        <v>710</v>
      </c>
      <c r="E269" t="s">
        <v>1233</v>
      </c>
      <c r="F269" t="str">
        <f t="shared" si="9"/>
        <v>710 - capital Outlay</v>
      </c>
      <c r="G269" t="s">
        <v>672</v>
      </c>
      <c r="H269" t="s">
        <v>1234</v>
      </c>
      <c r="I269" s="155">
        <v>0</v>
      </c>
      <c r="J269" s="155">
        <v>24073</v>
      </c>
      <c r="K269" s="155">
        <f t="shared" si="8"/>
        <v>32097.333333333336</v>
      </c>
      <c r="L269" s="155">
        <v>1120000</v>
      </c>
      <c r="M269" s="233">
        <f>_xlfn.XLOOKUP(G269,'Master Budget'!$G$4:$G$360,'Master Budget'!$O$4:$O$360,0)</f>
        <v>930000</v>
      </c>
      <c r="N269" s="233">
        <f>_xlfn.XLOOKUP(G269,'Master Budget'!$G$4:$G$360,'Master Budget'!$P$4:$P$360,0)</f>
        <v>1590000</v>
      </c>
    </row>
    <row r="270" spans="1:14" x14ac:dyDescent="0.25">
      <c r="A270">
        <v>274</v>
      </c>
      <c r="B270" t="s">
        <v>102</v>
      </c>
      <c r="C270" s="234">
        <v>51</v>
      </c>
      <c r="D270">
        <v>710</v>
      </c>
      <c r="E270" t="s">
        <v>1233</v>
      </c>
      <c r="F270" t="str">
        <f t="shared" si="9"/>
        <v>710 - capital Outlay</v>
      </c>
      <c r="G270" t="s">
        <v>673</v>
      </c>
      <c r="H270" t="s">
        <v>1237</v>
      </c>
      <c r="I270" s="155">
        <v>0</v>
      </c>
      <c r="J270" s="155">
        <v>605022.92000000004</v>
      </c>
      <c r="K270" s="155">
        <f t="shared" si="8"/>
        <v>806697.2266666668</v>
      </c>
      <c r="L270" s="155">
        <v>0</v>
      </c>
      <c r="M270" s="233">
        <f>_xlfn.XLOOKUP(G270,'Master Budget'!$G$4:$G$360,'Master Budget'!$O$4:$O$360,0)</f>
        <v>0</v>
      </c>
      <c r="N270" s="233">
        <f>_xlfn.XLOOKUP(G270,'Master Budget'!$G$4:$G$360,'Master Budget'!$P$4:$P$360,0)</f>
        <v>0</v>
      </c>
    </row>
    <row r="271" spans="1:14" x14ac:dyDescent="0.25">
      <c r="A271">
        <v>275</v>
      </c>
      <c r="B271" t="s">
        <v>102</v>
      </c>
      <c r="C271" s="234">
        <v>51</v>
      </c>
      <c r="D271">
        <v>720</v>
      </c>
      <c r="E271" t="s">
        <v>883</v>
      </c>
      <c r="F271" t="str">
        <f t="shared" si="9"/>
        <v>720 - Gain/Loss on disposal</v>
      </c>
      <c r="G271" t="s">
        <v>676</v>
      </c>
      <c r="H271" t="s">
        <v>164</v>
      </c>
      <c r="I271" s="155">
        <v>15839.5</v>
      </c>
      <c r="J271" s="155">
        <v>0</v>
      </c>
      <c r="K271" s="155">
        <f t="shared" ref="K271:K334" si="10">J271/9*12</f>
        <v>0</v>
      </c>
      <c r="L271" s="155">
        <v>0</v>
      </c>
      <c r="M271" s="233">
        <f>_xlfn.XLOOKUP(G271,'Master Budget'!$G$4:$G$360,'Master Budget'!$O$4:$O$360,0)</f>
        <v>0</v>
      </c>
      <c r="N271" s="233">
        <f>_xlfn.XLOOKUP(G271,'Master Budget'!$G$4:$G$360,'Master Budget'!$P$4:$P$360,0)</f>
        <v>0</v>
      </c>
    </row>
    <row r="272" spans="1:14" x14ac:dyDescent="0.25">
      <c r="A272">
        <v>276</v>
      </c>
      <c r="B272" t="s">
        <v>50</v>
      </c>
      <c r="C272" s="234">
        <v>52</v>
      </c>
      <c r="D272">
        <v>10000</v>
      </c>
      <c r="E272" t="s">
        <v>1029</v>
      </c>
      <c r="F272" t="str">
        <f t="shared" si="9"/>
        <v>10000 - Cash and Cash Equivalents</v>
      </c>
      <c r="G272" t="s">
        <v>677</v>
      </c>
      <c r="H272" t="s">
        <v>49</v>
      </c>
      <c r="I272" s="155">
        <v>-626932.81000000006</v>
      </c>
      <c r="J272" s="155">
        <v>402077.56</v>
      </c>
      <c r="K272" s="155"/>
      <c r="L272" s="155">
        <v>0</v>
      </c>
      <c r="M272" s="233">
        <f>_xlfn.XLOOKUP(G272,'Master Budget'!$G$4:$G$360,'Master Budget'!$O$4:$O$360,0)</f>
        <v>0</v>
      </c>
      <c r="N272" s="233">
        <f>_xlfn.XLOOKUP(G272,'Master Budget'!$G$4:$G$360,'Master Budget'!$P$4:$P$360,0)</f>
        <v>0</v>
      </c>
    </row>
    <row r="273" spans="1:14" x14ac:dyDescent="0.25">
      <c r="A273">
        <v>277</v>
      </c>
      <c r="B273" t="s">
        <v>50</v>
      </c>
      <c r="C273" s="234">
        <v>52</v>
      </c>
      <c r="D273">
        <v>16200</v>
      </c>
      <c r="E273" t="s">
        <v>1074</v>
      </c>
      <c r="F273" t="str">
        <f t="shared" si="9"/>
        <v>16200 - Noncurrent restricted cash and investments</v>
      </c>
      <c r="G273" t="s">
        <v>1087</v>
      </c>
      <c r="H273" t="s">
        <v>1031</v>
      </c>
      <c r="I273" s="155">
        <v>0</v>
      </c>
      <c r="J273" s="155">
        <v>0</v>
      </c>
      <c r="K273" s="155"/>
      <c r="L273" s="155">
        <v>0</v>
      </c>
      <c r="M273" s="233">
        <f>_xlfn.XLOOKUP(G273,'Master Budget'!$G$4:$G$360,'Master Budget'!$O$4:$O$360,0)</f>
        <v>0</v>
      </c>
      <c r="N273" s="233">
        <f>_xlfn.XLOOKUP(G273,'Master Budget'!$G$4:$G$360,'Master Budget'!$P$4:$P$360,0)</f>
        <v>0</v>
      </c>
    </row>
    <row r="274" spans="1:14" x14ac:dyDescent="0.25">
      <c r="A274">
        <v>278</v>
      </c>
      <c r="B274" t="s">
        <v>50</v>
      </c>
      <c r="C274" s="234">
        <v>52</v>
      </c>
      <c r="D274">
        <v>10000</v>
      </c>
      <c r="E274" t="s">
        <v>1029</v>
      </c>
      <c r="F274" t="str">
        <f t="shared" si="9"/>
        <v>10000 - Cash and Cash Equivalents</v>
      </c>
      <c r="G274" t="s">
        <v>678</v>
      </c>
      <c r="H274" t="s">
        <v>679</v>
      </c>
      <c r="I274" s="155">
        <v>97399.69</v>
      </c>
      <c r="J274" s="155">
        <v>100275.37</v>
      </c>
      <c r="K274" s="155"/>
      <c r="L274" s="155">
        <v>0</v>
      </c>
      <c r="M274" s="233">
        <f>_xlfn.XLOOKUP(G274,'Master Budget'!$G$4:$G$360,'Master Budget'!$O$4:$O$360,0)</f>
        <v>0</v>
      </c>
      <c r="N274" s="233">
        <f>_xlfn.XLOOKUP(G274,'Master Budget'!$G$4:$G$360,'Master Budget'!$P$4:$P$360,0)</f>
        <v>0</v>
      </c>
    </row>
    <row r="275" spans="1:14" x14ac:dyDescent="0.25">
      <c r="A275">
        <v>279</v>
      </c>
      <c r="B275" t="s">
        <v>50</v>
      </c>
      <c r="C275" s="234">
        <v>52</v>
      </c>
      <c r="D275">
        <v>16200</v>
      </c>
      <c r="E275" t="s">
        <v>1074</v>
      </c>
      <c r="F275" t="str">
        <f t="shared" si="9"/>
        <v>16200 - Noncurrent restricted cash and investments</v>
      </c>
      <c r="G275" t="s">
        <v>680</v>
      </c>
      <c r="H275" t="s">
        <v>681</v>
      </c>
      <c r="I275" s="155">
        <v>4361371.9400000004</v>
      </c>
      <c r="J275" s="155">
        <v>1401240.44</v>
      </c>
      <c r="K275" s="155"/>
      <c r="L275" s="155">
        <v>0</v>
      </c>
      <c r="M275" s="233">
        <f>_xlfn.XLOOKUP(G275,'Master Budget'!$G$4:$G$360,'Master Budget'!$O$4:$O$360,0)</f>
        <v>0</v>
      </c>
      <c r="N275" s="233">
        <f>_xlfn.XLOOKUP(G275,'Master Budget'!$G$4:$G$360,'Master Budget'!$P$4:$P$360,0)</f>
        <v>0</v>
      </c>
    </row>
    <row r="276" spans="1:14" x14ac:dyDescent="0.25">
      <c r="A276">
        <v>280</v>
      </c>
      <c r="B276" t="s">
        <v>50</v>
      </c>
      <c r="C276" s="234">
        <v>52</v>
      </c>
      <c r="D276">
        <v>10000</v>
      </c>
      <c r="E276" t="s">
        <v>1029</v>
      </c>
      <c r="F276" t="str">
        <f t="shared" si="9"/>
        <v>10000 - Cash and Cash Equivalents</v>
      </c>
      <c r="G276" t="s">
        <v>849</v>
      </c>
      <c r="H276" t="s">
        <v>850</v>
      </c>
      <c r="I276" s="155">
        <v>4049.25</v>
      </c>
      <c r="J276" s="155">
        <v>0</v>
      </c>
      <c r="K276" s="155"/>
      <c r="L276" s="155">
        <v>0</v>
      </c>
      <c r="M276" s="233">
        <f>_xlfn.XLOOKUP(G276,'Master Budget'!$G$4:$G$360,'Master Budget'!$O$4:$O$360,0)</f>
        <v>0</v>
      </c>
      <c r="N276" s="233">
        <f>_xlfn.XLOOKUP(G276,'Master Budget'!$G$4:$G$360,'Master Budget'!$P$4:$P$360,0)</f>
        <v>0</v>
      </c>
    </row>
    <row r="277" spans="1:14" x14ac:dyDescent="0.25">
      <c r="A277">
        <v>281</v>
      </c>
      <c r="B277" t="s">
        <v>50</v>
      </c>
      <c r="C277" s="234">
        <v>52</v>
      </c>
      <c r="D277">
        <v>11500</v>
      </c>
      <c r="E277" t="s">
        <v>54</v>
      </c>
      <c r="F277" t="str">
        <f t="shared" si="9"/>
        <v>11500 - Accounts Receivable</v>
      </c>
      <c r="G277" t="s">
        <v>682</v>
      </c>
      <c r="H277" t="s">
        <v>54</v>
      </c>
      <c r="I277" s="155">
        <v>62964.91</v>
      </c>
      <c r="J277" s="155">
        <v>63504.83</v>
      </c>
      <c r="K277" s="155"/>
      <c r="L277" s="155">
        <v>0</v>
      </c>
      <c r="M277" s="233">
        <f>_xlfn.XLOOKUP(G277,'Master Budget'!$G$4:$G$360,'Master Budget'!$O$4:$O$360,0)</f>
        <v>0</v>
      </c>
      <c r="N277" s="233">
        <f>_xlfn.XLOOKUP(G277,'Master Budget'!$G$4:$G$360,'Master Budget'!$P$4:$P$360,0)</f>
        <v>0</v>
      </c>
    </row>
    <row r="278" spans="1:14" x14ac:dyDescent="0.25">
      <c r="A278">
        <v>282</v>
      </c>
      <c r="B278" t="s">
        <v>50</v>
      </c>
      <c r="C278" s="234">
        <v>52</v>
      </c>
      <c r="D278">
        <v>11500</v>
      </c>
      <c r="E278" t="s">
        <v>54</v>
      </c>
      <c r="F278" t="str">
        <f t="shared" si="9"/>
        <v>11500 - Accounts Receivable</v>
      </c>
      <c r="G278" t="s">
        <v>683</v>
      </c>
      <c r="H278" t="s">
        <v>179</v>
      </c>
      <c r="I278" s="155">
        <v>-5000</v>
      </c>
      <c r="J278" s="155">
        <v>-5000</v>
      </c>
      <c r="K278" s="155"/>
      <c r="L278" s="155"/>
      <c r="M278" s="233">
        <f>_xlfn.XLOOKUP(G278,'Master Budget'!$G$4:$G$360,'Master Budget'!$O$4:$O$360,0)</f>
        <v>0</v>
      </c>
      <c r="N278" s="233">
        <f>_xlfn.XLOOKUP(G278,'Master Budget'!$G$4:$G$360,'Master Budget'!$P$4:$P$360,0)</f>
        <v>0</v>
      </c>
    </row>
    <row r="279" spans="1:14" x14ac:dyDescent="0.25">
      <c r="A279">
        <v>283</v>
      </c>
      <c r="B279" t="s">
        <v>50</v>
      </c>
      <c r="C279" s="234">
        <v>52</v>
      </c>
      <c r="D279">
        <v>16320</v>
      </c>
      <c r="E279" t="s">
        <v>796</v>
      </c>
      <c r="F279" t="str">
        <f t="shared" si="9"/>
        <v>16320 - Equipment</v>
      </c>
      <c r="G279" t="s">
        <v>685</v>
      </c>
      <c r="H279" t="s">
        <v>1190</v>
      </c>
      <c r="I279" s="155">
        <v>203906.5</v>
      </c>
      <c r="J279" s="155">
        <v>203906.5</v>
      </c>
      <c r="K279" s="155"/>
      <c r="L279" s="155">
        <v>0</v>
      </c>
      <c r="M279" s="233">
        <f>_xlfn.XLOOKUP(G279,'Master Budget'!$G$4:$G$360,'Master Budget'!$O$4:$O$360,0)</f>
        <v>0</v>
      </c>
      <c r="N279" s="233">
        <f>_xlfn.XLOOKUP(G279,'Master Budget'!$G$4:$G$360,'Master Budget'!$P$4:$P$360,0)</f>
        <v>0</v>
      </c>
    </row>
    <row r="280" spans="1:14" x14ac:dyDescent="0.25">
      <c r="A280">
        <v>284</v>
      </c>
      <c r="B280" t="s">
        <v>50</v>
      </c>
      <c r="C280" s="234">
        <v>52</v>
      </c>
      <c r="D280">
        <v>16400</v>
      </c>
      <c r="E280" t="s">
        <v>1088</v>
      </c>
      <c r="F280" t="str">
        <f t="shared" si="9"/>
        <v>16400 - Wastewater system</v>
      </c>
      <c r="G280" t="s">
        <v>686</v>
      </c>
      <c r="H280" t="s">
        <v>687</v>
      </c>
      <c r="I280" s="155">
        <v>5511999.0999999996</v>
      </c>
      <c r="J280" s="155">
        <v>5511999.0999999996</v>
      </c>
      <c r="K280" s="155"/>
      <c r="L280" s="155">
        <v>0</v>
      </c>
      <c r="M280" s="233">
        <f>_xlfn.XLOOKUP(G280,'Master Budget'!$G$4:$G$360,'Master Budget'!$O$4:$O$360,0)</f>
        <v>0</v>
      </c>
      <c r="N280" s="233">
        <f>_xlfn.XLOOKUP(G280,'Master Budget'!$G$4:$G$360,'Master Budget'!$P$4:$P$360,0)</f>
        <v>0</v>
      </c>
    </row>
    <row r="281" spans="1:14" x14ac:dyDescent="0.25">
      <c r="A281">
        <v>285</v>
      </c>
      <c r="B281" t="s">
        <v>50</v>
      </c>
      <c r="C281" s="234">
        <v>52</v>
      </c>
      <c r="D281">
        <v>16500</v>
      </c>
      <c r="E281" t="s">
        <v>1033</v>
      </c>
      <c r="F281" t="str">
        <f t="shared" si="9"/>
        <v>16500 - Right to use assets</v>
      </c>
      <c r="G281" t="s">
        <v>688</v>
      </c>
      <c r="H281" t="s">
        <v>1035</v>
      </c>
      <c r="I281" s="155">
        <v>0</v>
      </c>
      <c r="J281" s="155">
        <v>0</v>
      </c>
      <c r="K281" s="155"/>
      <c r="L281" s="155">
        <v>0</v>
      </c>
      <c r="M281" s="233">
        <f>_xlfn.XLOOKUP(G281,'Master Budget'!$G$4:$G$360,'Master Budget'!$O$4:$O$360,0)</f>
        <v>0</v>
      </c>
      <c r="N281" s="233">
        <f>_xlfn.XLOOKUP(G281,'Master Budget'!$G$4:$G$360,'Master Budget'!$P$4:$P$360,0)</f>
        <v>0</v>
      </c>
    </row>
    <row r="282" spans="1:14" x14ac:dyDescent="0.25">
      <c r="A282">
        <v>286</v>
      </c>
      <c r="B282" t="s">
        <v>50</v>
      </c>
      <c r="C282" s="234">
        <v>52</v>
      </c>
      <c r="D282">
        <v>16600</v>
      </c>
      <c r="E282" t="s">
        <v>547</v>
      </c>
      <c r="F282" t="str">
        <f t="shared" si="9"/>
        <v>16600 - Construction In Progress</v>
      </c>
      <c r="G282" t="s">
        <v>690</v>
      </c>
      <c r="H282" t="s">
        <v>547</v>
      </c>
      <c r="I282" s="155">
        <v>9420291.2899999991</v>
      </c>
      <c r="J282" s="155">
        <v>9420291.2899999991</v>
      </c>
      <c r="K282" s="155"/>
      <c r="L282" s="155">
        <v>0</v>
      </c>
      <c r="M282" s="233">
        <f>_xlfn.XLOOKUP(G282,'Master Budget'!$G$4:$G$360,'Master Budget'!$O$4:$O$360,0)</f>
        <v>0</v>
      </c>
      <c r="N282" s="233">
        <f>_xlfn.XLOOKUP(G282,'Master Budget'!$G$4:$G$360,'Master Budget'!$P$4:$P$360,0)</f>
        <v>0</v>
      </c>
    </row>
    <row r="283" spans="1:14" x14ac:dyDescent="0.25">
      <c r="A283">
        <v>287</v>
      </c>
      <c r="B283" t="s">
        <v>50</v>
      </c>
      <c r="C283" s="234">
        <v>52</v>
      </c>
      <c r="D283">
        <v>16900</v>
      </c>
      <c r="E283" t="s">
        <v>198</v>
      </c>
      <c r="F283" t="str">
        <f t="shared" si="9"/>
        <v>16900 - Accumulated Depreciation</v>
      </c>
      <c r="G283" t="s">
        <v>691</v>
      </c>
      <c r="H283" t="s">
        <v>198</v>
      </c>
      <c r="I283" s="155">
        <v>-1921637.82</v>
      </c>
      <c r="J283" s="155">
        <v>-1985366.17</v>
      </c>
      <c r="K283" s="155"/>
      <c r="L283" s="155">
        <v>0</v>
      </c>
      <c r="M283" s="233">
        <f>_xlfn.XLOOKUP(G283,'Master Budget'!$G$4:$G$360,'Master Budget'!$O$4:$O$360,0)</f>
        <v>0</v>
      </c>
      <c r="N283" s="233">
        <f>_xlfn.XLOOKUP(G283,'Master Budget'!$G$4:$G$360,'Master Budget'!$P$4:$P$360,0)</f>
        <v>0</v>
      </c>
    </row>
    <row r="284" spans="1:14" x14ac:dyDescent="0.25">
      <c r="A284">
        <v>288</v>
      </c>
      <c r="B284" t="s">
        <v>50</v>
      </c>
      <c r="C284" s="234">
        <v>52</v>
      </c>
      <c r="D284">
        <v>17000</v>
      </c>
      <c r="E284" t="s">
        <v>64</v>
      </c>
      <c r="F284" t="str">
        <f t="shared" si="9"/>
        <v>17000 - Net Pension Asset</v>
      </c>
      <c r="G284" t="s">
        <v>1191</v>
      </c>
      <c r="H284" t="s">
        <v>64</v>
      </c>
      <c r="I284" s="155">
        <v>0</v>
      </c>
      <c r="J284" s="155">
        <v>0</v>
      </c>
      <c r="K284" s="155"/>
      <c r="L284" s="155"/>
      <c r="M284" s="233">
        <f>_xlfn.XLOOKUP(G284,'Master Budget'!$G$4:$G$360,'Master Budget'!$O$4:$O$360,0)</f>
        <v>0</v>
      </c>
      <c r="N284" s="233">
        <f>_xlfn.XLOOKUP(G284,'Master Budget'!$G$4:$G$360,'Master Budget'!$P$4:$P$360,0)</f>
        <v>0</v>
      </c>
    </row>
    <row r="285" spans="1:14" x14ac:dyDescent="0.25">
      <c r="A285">
        <v>289</v>
      </c>
      <c r="B285" t="s">
        <v>50</v>
      </c>
      <c r="C285" s="234">
        <v>52</v>
      </c>
      <c r="D285">
        <v>17010</v>
      </c>
      <c r="E285" t="s">
        <v>66</v>
      </c>
      <c r="F285" t="str">
        <f t="shared" si="9"/>
        <v>17010 - Deferred Outflows - Pensions</v>
      </c>
      <c r="G285" t="s">
        <v>851</v>
      </c>
      <c r="H285" t="s">
        <v>201</v>
      </c>
      <c r="I285" s="155">
        <v>35133</v>
      </c>
      <c r="J285" s="155">
        <v>35133</v>
      </c>
      <c r="K285" s="155"/>
      <c r="L285" s="155"/>
      <c r="M285" s="233">
        <f>_xlfn.XLOOKUP(G285,'Master Budget'!$G$4:$G$360,'Master Budget'!$O$4:$O$360,0)</f>
        <v>0</v>
      </c>
      <c r="N285" s="233">
        <f>_xlfn.XLOOKUP(G285,'Master Budget'!$G$4:$G$360,'Master Budget'!$P$4:$P$360,0)</f>
        <v>0</v>
      </c>
    </row>
    <row r="286" spans="1:14" x14ac:dyDescent="0.25">
      <c r="A286">
        <v>290</v>
      </c>
      <c r="B286" t="s">
        <v>71</v>
      </c>
      <c r="C286" s="234">
        <v>52</v>
      </c>
      <c r="D286">
        <v>21100</v>
      </c>
      <c r="E286" t="s">
        <v>70</v>
      </c>
      <c r="F286" t="str">
        <f t="shared" si="9"/>
        <v>21100 - Accounts Payable</v>
      </c>
      <c r="G286" t="s">
        <v>692</v>
      </c>
      <c r="H286" t="s">
        <v>70</v>
      </c>
      <c r="I286" s="155">
        <v>-847395.19</v>
      </c>
      <c r="J286" s="155">
        <v>819.67</v>
      </c>
      <c r="K286" s="155"/>
      <c r="L286" s="155">
        <v>0</v>
      </c>
      <c r="M286" s="233">
        <f>_xlfn.XLOOKUP(G286,'Master Budget'!$G$4:$G$360,'Master Budget'!$O$4:$O$360,0)</f>
        <v>0</v>
      </c>
      <c r="N286" s="233">
        <f>_xlfn.XLOOKUP(G286,'Master Budget'!$G$4:$G$360,'Master Budget'!$P$4:$P$360,0)</f>
        <v>0</v>
      </c>
    </row>
    <row r="287" spans="1:14" x14ac:dyDescent="0.25">
      <c r="A287">
        <v>291</v>
      </c>
      <c r="B287" t="s">
        <v>71</v>
      </c>
      <c r="C287" s="234">
        <v>52</v>
      </c>
      <c r="D287">
        <v>21100</v>
      </c>
      <c r="E287" t="s">
        <v>70</v>
      </c>
      <c r="F287" t="str">
        <f t="shared" si="9"/>
        <v>21100 - Accounts Payable</v>
      </c>
      <c r="G287" t="s">
        <v>693</v>
      </c>
      <c r="H287" t="s">
        <v>1177</v>
      </c>
      <c r="I287" s="155">
        <v>-518952.26</v>
      </c>
      <c r="J287" s="155">
        <v>-518952.26</v>
      </c>
      <c r="K287" s="155"/>
      <c r="L287" s="155">
        <v>0</v>
      </c>
      <c r="M287" s="233">
        <f>_xlfn.XLOOKUP(G287,'Master Budget'!$G$4:$G$360,'Master Budget'!$O$4:$O$360,0)</f>
        <v>0</v>
      </c>
      <c r="N287" s="233">
        <f>_xlfn.XLOOKUP(G287,'Master Budget'!$G$4:$G$360,'Master Budget'!$P$4:$P$360,0)</f>
        <v>0</v>
      </c>
    </row>
    <row r="288" spans="1:14" x14ac:dyDescent="0.25">
      <c r="A288">
        <v>292</v>
      </c>
      <c r="B288" t="s">
        <v>71</v>
      </c>
      <c r="C288" s="234">
        <v>52</v>
      </c>
      <c r="D288">
        <v>21100</v>
      </c>
      <c r="E288" t="s">
        <v>70</v>
      </c>
      <c r="F288" t="str">
        <f t="shared" si="9"/>
        <v>21100 - Accounts Payable</v>
      </c>
      <c r="G288" t="s">
        <v>852</v>
      </c>
      <c r="H288" t="s">
        <v>844</v>
      </c>
      <c r="I288" s="155">
        <v>0</v>
      </c>
      <c r="J288" s="155">
        <v>-12256.3</v>
      </c>
      <c r="K288" s="155"/>
      <c r="L288" s="155"/>
      <c r="M288" s="233">
        <f>_xlfn.XLOOKUP(G288,'Master Budget'!$G$4:$G$360,'Master Budget'!$O$4:$O$360,0)</f>
        <v>0</v>
      </c>
      <c r="N288" s="233">
        <f>_xlfn.XLOOKUP(G288,'Master Budget'!$G$4:$G$360,'Master Budget'!$P$4:$P$360,0)</f>
        <v>0</v>
      </c>
    </row>
    <row r="289" spans="1:14" x14ac:dyDescent="0.25">
      <c r="A289">
        <v>293</v>
      </c>
      <c r="B289" t="s">
        <v>71</v>
      </c>
      <c r="C289" s="234">
        <v>52</v>
      </c>
      <c r="D289">
        <v>22200</v>
      </c>
      <c r="E289" t="s">
        <v>1040</v>
      </c>
      <c r="F289" t="str">
        <f t="shared" si="9"/>
        <v>22200 - Accrued Expenses</v>
      </c>
      <c r="G289" t="s">
        <v>694</v>
      </c>
      <c r="H289" t="s">
        <v>73</v>
      </c>
      <c r="I289" s="155">
        <v>-7768.23</v>
      </c>
      <c r="J289" s="155">
        <v>-13842.14</v>
      </c>
      <c r="K289" s="155"/>
      <c r="L289" s="155">
        <v>0</v>
      </c>
      <c r="M289" s="233">
        <f>_xlfn.XLOOKUP(G289,'Master Budget'!$G$4:$G$360,'Master Budget'!$O$4:$O$360,0)</f>
        <v>0</v>
      </c>
      <c r="N289" s="233">
        <f>_xlfn.XLOOKUP(G289,'Master Budget'!$G$4:$G$360,'Master Budget'!$P$4:$P$360,0)</f>
        <v>0</v>
      </c>
    </row>
    <row r="290" spans="1:14" x14ac:dyDescent="0.25">
      <c r="A290">
        <v>294</v>
      </c>
      <c r="B290" t="s">
        <v>71</v>
      </c>
      <c r="C290" s="234">
        <v>52</v>
      </c>
      <c r="D290">
        <v>22200</v>
      </c>
      <c r="E290" t="s">
        <v>1040</v>
      </c>
      <c r="F290" t="str">
        <f t="shared" si="9"/>
        <v>22200 - Accrued Expenses</v>
      </c>
      <c r="G290" t="s">
        <v>695</v>
      </c>
      <c r="H290" t="s">
        <v>208</v>
      </c>
      <c r="I290" s="155">
        <v>0</v>
      </c>
      <c r="J290" s="155">
        <v>-2276.37</v>
      </c>
      <c r="K290" s="155"/>
      <c r="L290" s="155">
        <v>0</v>
      </c>
      <c r="M290" s="233">
        <f>_xlfn.XLOOKUP(G290,'Master Budget'!$G$4:$G$360,'Master Budget'!$O$4:$O$360,0)</f>
        <v>0</v>
      </c>
      <c r="N290" s="233">
        <f>_xlfn.XLOOKUP(G290,'Master Budget'!$G$4:$G$360,'Master Budget'!$P$4:$P$360,0)</f>
        <v>0</v>
      </c>
    </row>
    <row r="291" spans="1:14" x14ac:dyDescent="0.25">
      <c r="A291">
        <v>295</v>
      </c>
      <c r="B291" t="s">
        <v>71</v>
      </c>
      <c r="C291" s="234">
        <v>52</v>
      </c>
      <c r="D291">
        <v>22200</v>
      </c>
      <c r="E291" t="s">
        <v>1040</v>
      </c>
      <c r="F291" t="str">
        <f t="shared" si="9"/>
        <v>22200 - Accrued Expenses</v>
      </c>
      <c r="G291" t="s">
        <v>696</v>
      </c>
      <c r="H291" t="s">
        <v>210</v>
      </c>
      <c r="I291" s="155">
        <v>0</v>
      </c>
      <c r="J291" s="155">
        <v>-1927.22</v>
      </c>
      <c r="K291" s="155"/>
      <c r="L291" s="155">
        <v>0</v>
      </c>
      <c r="M291" s="233">
        <f>_xlfn.XLOOKUP(G291,'Master Budget'!$G$4:$G$360,'Master Budget'!$O$4:$O$360,0)</f>
        <v>0</v>
      </c>
      <c r="N291" s="233">
        <f>_xlfn.XLOOKUP(G291,'Master Budget'!$G$4:$G$360,'Master Budget'!$P$4:$P$360,0)</f>
        <v>0</v>
      </c>
    </row>
    <row r="292" spans="1:14" x14ac:dyDescent="0.25">
      <c r="A292">
        <v>296</v>
      </c>
      <c r="B292" t="s">
        <v>71</v>
      </c>
      <c r="C292" s="234">
        <v>52</v>
      </c>
      <c r="D292">
        <v>28560</v>
      </c>
      <c r="E292" t="s">
        <v>79</v>
      </c>
      <c r="F292" t="str">
        <f t="shared" si="9"/>
        <v>28560 - Net Pension Liability</v>
      </c>
      <c r="G292" t="s">
        <v>853</v>
      </c>
      <c r="H292" t="s">
        <v>79</v>
      </c>
      <c r="I292" s="155">
        <v>-20096</v>
      </c>
      <c r="J292" s="155">
        <v>-20096</v>
      </c>
      <c r="K292" s="155"/>
      <c r="L292" s="155"/>
      <c r="M292" s="233">
        <f>_xlfn.XLOOKUP(G292,'Master Budget'!$G$4:$G$360,'Master Budget'!$O$4:$O$360,0)</f>
        <v>0</v>
      </c>
      <c r="N292" s="233">
        <f>_xlfn.XLOOKUP(G292,'Master Budget'!$G$4:$G$360,'Master Budget'!$P$4:$P$360,0)</f>
        <v>0</v>
      </c>
    </row>
    <row r="293" spans="1:14" x14ac:dyDescent="0.25">
      <c r="A293">
        <v>297</v>
      </c>
      <c r="B293" t="s">
        <v>71</v>
      </c>
      <c r="C293" s="234">
        <v>52</v>
      </c>
      <c r="D293">
        <v>22520</v>
      </c>
      <c r="E293" t="s">
        <v>1041</v>
      </c>
      <c r="F293" t="str">
        <f t="shared" si="9"/>
        <v>22520 - Deferred inflows</v>
      </c>
      <c r="G293" t="s">
        <v>854</v>
      </c>
      <c r="H293" t="s">
        <v>213</v>
      </c>
      <c r="I293" s="155">
        <v>-383</v>
      </c>
      <c r="J293" s="155">
        <v>-383</v>
      </c>
      <c r="K293" s="155"/>
      <c r="L293" s="155"/>
      <c r="M293" s="233">
        <f>_xlfn.XLOOKUP(G293,'Master Budget'!$G$4:$G$360,'Master Budget'!$O$4:$O$360,0)</f>
        <v>0</v>
      </c>
      <c r="N293" s="233">
        <f>_xlfn.XLOOKUP(G293,'Master Budget'!$G$4:$G$360,'Master Budget'!$P$4:$P$360,0)</f>
        <v>0</v>
      </c>
    </row>
    <row r="294" spans="1:14" x14ac:dyDescent="0.25">
      <c r="A294">
        <v>298</v>
      </c>
      <c r="B294" t="s">
        <v>71</v>
      </c>
      <c r="C294" s="234">
        <v>52</v>
      </c>
      <c r="D294">
        <v>22200</v>
      </c>
      <c r="E294" t="s">
        <v>1040</v>
      </c>
      <c r="F294" t="str">
        <f t="shared" si="9"/>
        <v>22200 - Accrued Expenses</v>
      </c>
      <c r="G294" t="s">
        <v>697</v>
      </c>
      <c r="H294" t="s">
        <v>215</v>
      </c>
      <c r="I294" s="155">
        <v>0</v>
      </c>
      <c r="J294" s="155">
        <v>12.16</v>
      </c>
      <c r="K294" s="155"/>
      <c r="L294" s="155">
        <v>0</v>
      </c>
      <c r="M294" s="233">
        <f>_xlfn.XLOOKUP(G294,'Master Budget'!$G$4:$G$360,'Master Budget'!$O$4:$O$360,0)</f>
        <v>0</v>
      </c>
      <c r="N294" s="233">
        <f>_xlfn.XLOOKUP(G294,'Master Budget'!$G$4:$G$360,'Master Budget'!$P$4:$P$360,0)</f>
        <v>0</v>
      </c>
    </row>
    <row r="295" spans="1:14" x14ac:dyDescent="0.25">
      <c r="A295">
        <v>299</v>
      </c>
      <c r="B295" t="s">
        <v>71</v>
      </c>
      <c r="C295" s="234">
        <v>52</v>
      </c>
      <c r="D295">
        <v>22200</v>
      </c>
      <c r="E295" t="s">
        <v>1040</v>
      </c>
      <c r="F295" t="str">
        <f t="shared" si="9"/>
        <v>22200 - Accrued Expenses</v>
      </c>
      <c r="G295" t="s">
        <v>698</v>
      </c>
      <c r="H295" t="s">
        <v>217</v>
      </c>
      <c r="I295" s="155">
        <v>0</v>
      </c>
      <c r="J295" s="155">
        <v>0</v>
      </c>
      <c r="K295" s="155"/>
      <c r="L295" s="155">
        <v>0</v>
      </c>
      <c r="M295" s="233">
        <f>_xlfn.XLOOKUP(G295,'Master Budget'!$G$4:$G$360,'Master Budget'!$O$4:$O$360,0)</f>
        <v>0</v>
      </c>
      <c r="N295" s="233">
        <f>_xlfn.XLOOKUP(G295,'Master Budget'!$G$4:$G$360,'Master Budget'!$P$4:$P$360,0)</f>
        <v>0</v>
      </c>
    </row>
    <row r="296" spans="1:14" x14ac:dyDescent="0.25">
      <c r="A296">
        <v>300</v>
      </c>
      <c r="B296" t="s">
        <v>71</v>
      </c>
      <c r="C296" s="234">
        <v>52</v>
      </c>
      <c r="D296">
        <v>22200</v>
      </c>
      <c r="E296" t="s">
        <v>1040</v>
      </c>
      <c r="F296" t="str">
        <f t="shared" si="9"/>
        <v>22200 - Accrued Expenses</v>
      </c>
      <c r="G296" t="s">
        <v>699</v>
      </c>
      <c r="H296" t="s">
        <v>219</v>
      </c>
      <c r="I296" s="155">
        <v>0</v>
      </c>
      <c r="J296" s="155">
        <v>-22.86</v>
      </c>
      <c r="K296" s="155"/>
      <c r="L296" s="155">
        <v>0</v>
      </c>
      <c r="M296" s="233">
        <f>_xlfn.XLOOKUP(G296,'Master Budget'!$G$4:$G$360,'Master Budget'!$O$4:$O$360,0)</f>
        <v>0</v>
      </c>
      <c r="N296" s="233">
        <f>_xlfn.XLOOKUP(G296,'Master Budget'!$G$4:$G$360,'Master Budget'!$P$4:$P$360,0)</f>
        <v>0</v>
      </c>
    </row>
    <row r="297" spans="1:14" x14ac:dyDescent="0.25">
      <c r="A297">
        <v>301</v>
      </c>
      <c r="B297" t="s">
        <v>71</v>
      </c>
      <c r="C297" s="234">
        <v>52</v>
      </c>
      <c r="D297">
        <v>23000</v>
      </c>
      <c r="E297" t="s">
        <v>221</v>
      </c>
      <c r="F297" t="str">
        <f t="shared" si="9"/>
        <v>23000 - Unearned Revenue</v>
      </c>
      <c r="G297" t="s">
        <v>700</v>
      </c>
      <c r="H297" t="s">
        <v>221</v>
      </c>
      <c r="I297" s="155">
        <v>-1810745.67</v>
      </c>
      <c r="J297" s="155">
        <v>-1810745.67</v>
      </c>
      <c r="K297" s="155"/>
      <c r="L297" s="155">
        <v>0</v>
      </c>
      <c r="M297" s="233">
        <f>_xlfn.XLOOKUP(G297,'Master Budget'!$G$4:$G$360,'Master Budget'!$O$4:$O$360,0)</f>
        <v>0</v>
      </c>
      <c r="N297" s="233">
        <f>_xlfn.XLOOKUP(G297,'Master Budget'!$G$4:$G$360,'Master Budget'!$P$4:$P$360,0)</f>
        <v>0</v>
      </c>
    </row>
    <row r="298" spans="1:14" x14ac:dyDescent="0.25">
      <c r="A298">
        <v>302</v>
      </c>
      <c r="B298" t="s">
        <v>71</v>
      </c>
      <c r="C298" s="234">
        <v>52</v>
      </c>
      <c r="D298">
        <v>22200</v>
      </c>
      <c r="E298" t="s">
        <v>1040</v>
      </c>
      <c r="F298" t="str">
        <f t="shared" si="9"/>
        <v>22200 - Accrued Expenses</v>
      </c>
      <c r="G298" t="s">
        <v>701</v>
      </c>
      <c r="H298" t="s">
        <v>89</v>
      </c>
      <c r="I298" s="155">
        <v>-11853.26</v>
      </c>
      <c r="J298" s="155">
        <v>-11853.26</v>
      </c>
      <c r="K298" s="155"/>
      <c r="L298" s="155">
        <v>0</v>
      </c>
      <c r="M298" s="233">
        <f>_xlfn.XLOOKUP(G298,'Master Budget'!$G$4:$G$360,'Master Budget'!$O$4:$O$360,0)</f>
        <v>0</v>
      </c>
      <c r="N298" s="233">
        <f>_xlfn.XLOOKUP(G298,'Master Budget'!$G$4:$G$360,'Master Budget'!$P$4:$P$360,0)</f>
        <v>0</v>
      </c>
    </row>
    <row r="299" spans="1:14" x14ac:dyDescent="0.25">
      <c r="A299">
        <v>303</v>
      </c>
      <c r="B299" t="s">
        <v>71</v>
      </c>
      <c r="C299" s="234">
        <v>52</v>
      </c>
      <c r="D299">
        <v>22250</v>
      </c>
      <c r="E299" t="s">
        <v>1178</v>
      </c>
      <c r="F299" t="str">
        <f t="shared" si="9"/>
        <v>22250 - Compensated Absences Noncurrent</v>
      </c>
      <c r="G299" t="s">
        <v>702</v>
      </c>
      <c r="H299" t="s">
        <v>1178</v>
      </c>
      <c r="I299" s="155">
        <v>-13891</v>
      </c>
      <c r="J299" s="155">
        <v>-13891</v>
      </c>
      <c r="K299" s="155"/>
      <c r="L299" s="155">
        <v>0</v>
      </c>
      <c r="M299" s="233">
        <f>_xlfn.XLOOKUP(G299,'Master Budget'!$G$4:$G$360,'Master Budget'!$O$4:$O$360,0)</f>
        <v>0</v>
      </c>
      <c r="N299" s="233">
        <f>_xlfn.XLOOKUP(G299,'Master Budget'!$G$4:$G$360,'Master Budget'!$P$4:$P$360,0)</f>
        <v>0</v>
      </c>
    </row>
    <row r="300" spans="1:14" x14ac:dyDescent="0.25">
      <c r="A300">
        <v>304</v>
      </c>
      <c r="B300" t="s">
        <v>71</v>
      </c>
      <c r="C300" s="234">
        <v>52</v>
      </c>
      <c r="D300">
        <v>28000</v>
      </c>
      <c r="E300" t="s">
        <v>227</v>
      </c>
      <c r="F300" t="str">
        <f t="shared" si="9"/>
        <v>28000 - Accrued Interest Payable</v>
      </c>
      <c r="G300" t="s">
        <v>704</v>
      </c>
      <c r="H300" t="s">
        <v>705</v>
      </c>
      <c r="I300" s="155">
        <v>0</v>
      </c>
      <c r="J300" s="155">
        <v>0</v>
      </c>
      <c r="K300" s="155"/>
      <c r="L300" s="155">
        <v>0</v>
      </c>
      <c r="M300" s="233">
        <f>_xlfn.XLOOKUP(G300,'Master Budget'!$G$4:$G$360,'Master Budget'!$O$4:$O$360,0)</f>
        <v>0</v>
      </c>
      <c r="N300" s="233">
        <f>_xlfn.XLOOKUP(G300,'Master Budget'!$G$4:$G$360,'Master Budget'!$P$4:$P$360,0)</f>
        <v>0</v>
      </c>
    </row>
    <row r="301" spans="1:14" x14ac:dyDescent="0.25">
      <c r="A301">
        <v>305</v>
      </c>
      <c r="B301" t="s">
        <v>71</v>
      </c>
      <c r="C301" s="234">
        <v>52</v>
      </c>
      <c r="D301">
        <v>28521</v>
      </c>
      <c r="E301" t="s">
        <v>1232</v>
      </c>
      <c r="F301" t="str">
        <f t="shared" si="9"/>
        <v>28521 - capital Leases Payable - Current</v>
      </c>
      <c r="G301" t="s">
        <v>707</v>
      </c>
      <c r="H301" t="s">
        <v>1189</v>
      </c>
      <c r="I301" s="155">
        <v>0</v>
      </c>
      <c r="J301" s="155">
        <v>0</v>
      </c>
      <c r="K301" s="155"/>
      <c r="L301" s="155">
        <v>0</v>
      </c>
      <c r="M301" s="233">
        <f>_xlfn.XLOOKUP(G301,'Master Budget'!$G$4:$G$360,'Master Budget'!$O$4:$O$360,0)</f>
        <v>0</v>
      </c>
      <c r="N301" s="233">
        <f>_xlfn.XLOOKUP(G301,'Master Budget'!$G$4:$G$360,'Master Budget'!$P$4:$P$360,0)</f>
        <v>0</v>
      </c>
    </row>
    <row r="302" spans="1:14" x14ac:dyDescent="0.25">
      <c r="A302">
        <v>306</v>
      </c>
      <c r="B302" t="s">
        <v>71</v>
      </c>
      <c r="C302" s="234">
        <v>52</v>
      </c>
      <c r="D302">
        <v>28540</v>
      </c>
      <c r="E302" t="s">
        <v>1182</v>
      </c>
      <c r="F302" t="str">
        <f t="shared" si="9"/>
        <v>28540 - Bonds Payable - Noncurrent</v>
      </c>
      <c r="G302" t="s">
        <v>708</v>
      </c>
      <c r="H302" t="s">
        <v>709</v>
      </c>
      <c r="I302" s="155">
        <v>-170325</v>
      </c>
      <c r="J302" s="155">
        <v>-170325</v>
      </c>
      <c r="K302" s="155"/>
      <c r="L302" s="155">
        <v>0</v>
      </c>
      <c r="M302" s="233">
        <f>_xlfn.XLOOKUP(G302,'Master Budget'!$G$4:$G$360,'Master Budget'!$O$4:$O$360,0)</f>
        <v>0</v>
      </c>
      <c r="N302" s="233">
        <f>_xlfn.XLOOKUP(G302,'Master Budget'!$G$4:$G$360,'Master Budget'!$P$4:$P$360,0)</f>
        <v>0</v>
      </c>
    </row>
    <row r="303" spans="1:14" x14ac:dyDescent="0.25">
      <c r="A303">
        <v>307</v>
      </c>
      <c r="B303" t="s">
        <v>71</v>
      </c>
      <c r="C303" s="234">
        <v>52</v>
      </c>
      <c r="D303">
        <v>28540</v>
      </c>
      <c r="E303" t="s">
        <v>1182</v>
      </c>
      <c r="F303" t="str">
        <f t="shared" si="9"/>
        <v>28540 - Bonds Payable - Noncurrent</v>
      </c>
      <c r="G303" t="s">
        <v>855</v>
      </c>
      <c r="H303" t="s">
        <v>856</v>
      </c>
      <c r="I303" s="155">
        <v>-71000</v>
      </c>
      <c r="J303" s="155">
        <v>-71000</v>
      </c>
      <c r="K303" s="155"/>
      <c r="L303" s="155">
        <v>0</v>
      </c>
      <c r="M303" s="233">
        <f>_xlfn.XLOOKUP(G303,'Master Budget'!$G$4:$G$360,'Master Budget'!$O$4:$O$360,0)</f>
        <v>0</v>
      </c>
      <c r="N303" s="233">
        <f>_xlfn.XLOOKUP(G303,'Master Budget'!$G$4:$G$360,'Master Budget'!$P$4:$P$360,0)</f>
        <v>0</v>
      </c>
    </row>
    <row r="304" spans="1:14" x14ac:dyDescent="0.25">
      <c r="A304">
        <v>308</v>
      </c>
      <c r="B304" t="s">
        <v>71</v>
      </c>
      <c r="C304" s="234">
        <v>52</v>
      </c>
      <c r="D304">
        <v>28520</v>
      </c>
      <c r="E304" t="s">
        <v>1230</v>
      </c>
      <c r="F304" t="str">
        <f t="shared" si="9"/>
        <v>28520 - capital Leases Payable  - Noncurrent</v>
      </c>
      <c r="G304" t="s">
        <v>714</v>
      </c>
      <c r="H304" t="s">
        <v>31</v>
      </c>
      <c r="I304" s="155">
        <v>0</v>
      </c>
      <c r="J304" s="155">
        <v>0</v>
      </c>
      <c r="K304" s="155"/>
      <c r="L304" s="155">
        <v>0</v>
      </c>
      <c r="M304" s="233">
        <f>_xlfn.XLOOKUP(G304,'Master Budget'!$G$4:$G$360,'Master Budget'!$O$4:$O$360,0)</f>
        <v>0</v>
      </c>
      <c r="N304" s="233">
        <f>_xlfn.XLOOKUP(G304,'Master Budget'!$G$4:$G$360,'Master Budget'!$P$4:$P$360,0)</f>
        <v>0</v>
      </c>
    </row>
    <row r="305" spans="1:14" x14ac:dyDescent="0.25">
      <c r="A305">
        <v>309</v>
      </c>
      <c r="B305" t="s">
        <v>1049</v>
      </c>
      <c r="C305" s="234">
        <v>52</v>
      </c>
      <c r="D305">
        <v>29100</v>
      </c>
      <c r="E305" t="s">
        <v>1050</v>
      </c>
      <c r="F305" t="str">
        <f t="shared" si="9"/>
        <v>29100 - Unrestricted</v>
      </c>
      <c r="G305" t="s">
        <v>716</v>
      </c>
      <c r="H305" t="s">
        <v>246</v>
      </c>
      <c r="I305" s="155">
        <v>-5771672.2400000002</v>
      </c>
      <c r="J305" s="155">
        <v>-13671135.439999999</v>
      </c>
      <c r="K305" s="155"/>
      <c r="L305" s="155">
        <v>0</v>
      </c>
      <c r="M305" s="233">
        <f>_xlfn.XLOOKUP(G305,'Master Budget'!$G$4:$G$360,'Master Budget'!$O$4:$O$360,0)</f>
        <v>0</v>
      </c>
      <c r="N305" s="233">
        <f>_xlfn.XLOOKUP(G305,'Master Budget'!$G$4:$G$360,'Master Budget'!$P$4:$P$360,0)</f>
        <v>0</v>
      </c>
    </row>
    <row r="306" spans="1:14" x14ac:dyDescent="0.25">
      <c r="A306">
        <v>310</v>
      </c>
      <c r="B306" t="s">
        <v>97</v>
      </c>
      <c r="C306" s="234">
        <v>52</v>
      </c>
      <c r="D306">
        <v>70</v>
      </c>
      <c r="E306" t="s">
        <v>20</v>
      </c>
      <c r="F306" t="str">
        <f t="shared" si="9"/>
        <v>70 - Grant revenue</v>
      </c>
      <c r="G306" t="s">
        <v>717</v>
      </c>
      <c r="H306" t="s">
        <v>831</v>
      </c>
      <c r="I306" s="155">
        <v>-7659654.3099999996</v>
      </c>
      <c r="J306" s="155">
        <v>0</v>
      </c>
      <c r="K306" s="155">
        <f t="shared" si="10"/>
        <v>0</v>
      </c>
      <c r="L306" s="155">
        <v>0</v>
      </c>
      <c r="M306" s="233">
        <f>_xlfn.XLOOKUP(G306,'Master Budget'!$G$4:$G$360,'Master Budget'!$O$4:$O$360,0)</f>
        <v>-2619841.59</v>
      </c>
      <c r="N306" s="233">
        <f>_xlfn.XLOOKUP(G306,'Master Budget'!$G$4:$G$360,'Master Budget'!$P$4:$P$360,0)</f>
        <v>0</v>
      </c>
    </row>
    <row r="307" spans="1:14" x14ac:dyDescent="0.25">
      <c r="A307">
        <v>311</v>
      </c>
      <c r="B307" t="s">
        <v>97</v>
      </c>
      <c r="C307" s="234">
        <v>52</v>
      </c>
      <c r="D307">
        <v>30</v>
      </c>
      <c r="E307" t="s">
        <v>6</v>
      </c>
      <c r="F307" t="str">
        <f t="shared" si="9"/>
        <v>30 - Charges for services</v>
      </c>
      <c r="G307" t="s">
        <v>719</v>
      </c>
      <c r="H307" t="s">
        <v>720</v>
      </c>
      <c r="I307" s="155">
        <v>-685128.8</v>
      </c>
      <c r="J307" s="155">
        <v>-515578.6</v>
      </c>
      <c r="K307" s="155">
        <f t="shared" si="10"/>
        <v>-687438.1333333333</v>
      </c>
      <c r="L307" s="155">
        <v>-685000</v>
      </c>
      <c r="M307" s="233">
        <f>_xlfn.XLOOKUP(G307,'Master Budget'!$G$4:$G$360,'Master Budget'!$O$4:$O$360,0)</f>
        <v>-685000</v>
      </c>
      <c r="N307" s="233">
        <f>_xlfn.XLOOKUP(G307,'Master Budget'!$G$4:$G$360,'Master Budget'!$P$4:$P$360,0)</f>
        <v>-685000</v>
      </c>
    </row>
    <row r="308" spans="1:14" x14ac:dyDescent="0.25">
      <c r="A308">
        <v>312</v>
      </c>
      <c r="B308" t="s">
        <v>97</v>
      </c>
      <c r="C308" s="234">
        <v>52</v>
      </c>
      <c r="D308">
        <v>960</v>
      </c>
      <c r="E308" t="s">
        <v>19</v>
      </c>
      <c r="F308" t="str">
        <f t="shared" si="9"/>
        <v>960 - Interest income</v>
      </c>
      <c r="G308" t="s">
        <v>721</v>
      </c>
      <c r="H308" t="s">
        <v>256</v>
      </c>
      <c r="I308" s="155">
        <v>0</v>
      </c>
      <c r="J308" s="155">
        <v>0</v>
      </c>
      <c r="K308" s="155">
        <f t="shared" si="10"/>
        <v>0</v>
      </c>
      <c r="L308" s="155">
        <v>0</v>
      </c>
      <c r="M308" s="233">
        <f>_xlfn.XLOOKUP(G308,'Master Budget'!$G$4:$G$360,'Master Budget'!$O$4:$O$360,0)</f>
        <v>0</v>
      </c>
      <c r="N308" s="233">
        <f>_xlfn.XLOOKUP(G308,'Master Budget'!$G$4:$G$360,'Master Budget'!$P$4:$P$360,0)</f>
        <v>0</v>
      </c>
    </row>
    <row r="309" spans="1:14" x14ac:dyDescent="0.25">
      <c r="A309">
        <v>313</v>
      </c>
      <c r="B309" t="s">
        <v>97</v>
      </c>
      <c r="C309" s="234">
        <v>52</v>
      </c>
      <c r="D309">
        <v>30</v>
      </c>
      <c r="E309" t="s">
        <v>6</v>
      </c>
      <c r="F309" t="str">
        <f t="shared" si="9"/>
        <v>30 - Charges for services</v>
      </c>
      <c r="G309" t="s">
        <v>722</v>
      </c>
      <c r="H309" t="s">
        <v>99</v>
      </c>
      <c r="I309" s="155">
        <v>-39079.58</v>
      </c>
      <c r="J309" s="155">
        <v>0</v>
      </c>
      <c r="K309" s="155">
        <f t="shared" si="10"/>
        <v>0</v>
      </c>
      <c r="L309" s="155">
        <v>-480</v>
      </c>
      <c r="M309" s="233">
        <f>_xlfn.XLOOKUP(G309,'Master Budget'!$G$4:$G$360,'Master Budget'!$O$4:$O$360,0)</f>
        <v>-480</v>
      </c>
      <c r="N309" s="233">
        <f>_xlfn.XLOOKUP(G309,'Master Budget'!$G$4:$G$360,'Master Budget'!$P$4:$P$360,0)</f>
        <v>-480</v>
      </c>
    </row>
    <row r="310" spans="1:14" x14ac:dyDescent="0.25">
      <c r="A310">
        <v>314</v>
      </c>
      <c r="B310" t="s">
        <v>97</v>
      </c>
      <c r="C310" s="234">
        <v>52</v>
      </c>
      <c r="D310">
        <v>960</v>
      </c>
      <c r="E310" t="s">
        <v>19</v>
      </c>
      <c r="F310" t="str">
        <f t="shared" si="9"/>
        <v>960 - Interest income</v>
      </c>
      <c r="G310" t="s">
        <v>723</v>
      </c>
      <c r="H310" t="s">
        <v>467</v>
      </c>
      <c r="I310" s="155">
        <v>-249750.36</v>
      </c>
      <c r="J310" s="155">
        <v>-79655.240000000005</v>
      </c>
      <c r="K310" s="155">
        <f t="shared" si="10"/>
        <v>-106206.98666666668</v>
      </c>
      <c r="L310" s="155">
        <v>-50000</v>
      </c>
      <c r="M310" s="233">
        <f>_xlfn.XLOOKUP(G310,'Master Budget'!$G$4:$G$360,'Master Budget'!$O$4:$O$360,0)</f>
        <v>-50000</v>
      </c>
      <c r="N310" s="233">
        <f>_xlfn.XLOOKUP(G310,'Master Budget'!$G$4:$G$360,'Master Budget'!$P$4:$P$360,0)</f>
        <v>-50000</v>
      </c>
    </row>
    <row r="311" spans="1:14" x14ac:dyDescent="0.25">
      <c r="A311">
        <v>315</v>
      </c>
      <c r="B311" t="s">
        <v>102</v>
      </c>
      <c r="C311" s="234">
        <v>52</v>
      </c>
      <c r="D311">
        <v>100</v>
      </c>
      <c r="E311" t="s">
        <v>9</v>
      </c>
      <c r="F311" t="str">
        <f t="shared" si="9"/>
        <v>100 - Salaries and Benefits</v>
      </c>
      <c r="G311" t="s">
        <v>733</v>
      </c>
      <c r="H311" t="s">
        <v>1078</v>
      </c>
      <c r="I311" s="155">
        <v>195961.71</v>
      </c>
      <c r="J311" s="155">
        <v>151760.79999999999</v>
      </c>
      <c r="K311" s="155">
        <f t="shared" si="10"/>
        <v>202347.73333333334</v>
      </c>
      <c r="L311" s="155">
        <v>259590.18340500002</v>
      </c>
      <c r="M311" s="233">
        <f>_xlfn.XLOOKUP(G311,'Master Budget'!$G$4:$G$360,'Master Budget'!$O$4:$O$360,0)</f>
        <v>258650.34900000002</v>
      </c>
      <c r="N311" s="233">
        <f>_xlfn.XLOOKUP(G311,'Master Budget'!$G$4:$G$360,'Master Budget'!$P$4:$P$360,0)</f>
        <v>210153.56189999994</v>
      </c>
    </row>
    <row r="312" spans="1:14" x14ac:dyDescent="0.25">
      <c r="A312">
        <v>316</v>
      </c>
      <c r="B312" t="s">
        <v>102</v>
      </c>
      <c r="C312" s="234">
        <v>52</v>
      </c>
      <c r="D312">
        <v>100</v>
      </c>
      <c r="E312" t="s">
        <v>9</v>
      </c>
      <c r="F312" t="str">
        <f t="shared" si="9"/>
        <v>100 - Salaries and Benefits</v>
      </c>
      <c r="G312" t="s">
        <v>735</v>
      </c>
      <c r="H312" t="s">
        <v>104</v>
      </c>
      <c r="I312" s="155">
        <v>15297.95</v>
      </c>
      <c r="J312" s="155">
        <v>12536.54</v>
      </c>
      <c r="K312" s="155">
        <f t="shared" si="10"/>
        <v>16715.386666666669</v>
      </c>
      <c r="L312" s="155">
        <v>19858.649030482498</v>
      </c>
      <c r="M312" s="233">
        <f>_xlfn.XLOOKUP(G312,'Master Budget'!$G$4:$G$360,'Master Budget'!$O$4:$O$360,0)</f>
        <v>19786.7516985</v>
      </c>
      <c r="N312" s="233">
        <f>_xlfn.XLOOKUP(G312,'Master Budget'!$G$4:$G$360,'Master Budget'!$P$4:$P$360,0)</f>
        <v>16076.747485349995</v>
      </c>
    </row>
    <row r="313" spans="1:14" x14ac:dyDescent="0.25">
      <c r="A313">
        <v>317</v>
      </c>
      <c r="B313" t="s">
        <v>102</v>
      </c>
      <c r="C313" s="234">
        <v>52</v>
      </c>
      <c r="D313">
        <v>100</v>
      </c>
      <c r="E313" t="s">
        <v>9</v>
      </c>
      <c r="F313" t="str">
        <f t="shared" si="9"/>
        <v>100 - Salaries and Benefits</v>
      </c>
      <c r="G313" t="s">
        <v>736</v>
      </c>
      <c r="H313" t="s">
        <v>106</v>
      </c>
      <c r="I313" s="155">
        <v>35513.699999999997</v>
      </c>
      <c r="J313" s="155">
        <v>28084.16</v>
      </c>
      <c r="K313" s="155">
        <f t="shared" si="10"/>
        <v>37445.546666666669</v>
      </c>
      <c r="L313" s="155">
        <v>39004.434000000008</v>
      </c>
      <c r="M313" s="233">
        <f>_xlfn.XLOOKUP(G313,'Master Budget'!$G$4:$G$360,'Master Budget'!$O$4:$O$360,0)</f>
        <v>38885.520000000004</v>
      </c>
      <c r="N313" s="233">
        <f>_xlfn.XLOOKUP(G313,'Master Budget'!$G$4:$G$360,'Master Budget'!$P$4:$P$360,0)</f>
        <v>30695.847519999999</v>
      </c>
    </row>
    <row r="314" spans="1:14" x14ac:dyDescent="0.25">
      <c r="A314">
        <v>318</v>
      </c>
      <c r="B314" t="s">
        <v>102</v>
      </c>
      <c r="C314" s="234">
        <v>52</v>
      </c>
      <c r="D314">
        <v>100</v>
      </c>
      <c r="E314" t="s">
        <v>9</v>
      </c>
      <c r="F314" t="str">
        <f t="shared" si="9"/>
        <v>100 - Salaries and Benefits</v>
      </c>
      <c r="G314" t="s">
        <v>737</v>
      </c>
      <c r="H314" t="s">
        <v>108</v>
      </c>
      <c r="I314" s="155">
        <v>42429.4</v>
      </c>
      <c r="J314" s="155">
        <v>30726.81</v>
      </c>
      <c r="K314" s="155">
        <f t="shared" si="10"/>
        <v>40969.08</v>
      </c>
      <c r="L314" s="155">
        <v>53007.742125000004</v>
      </c>
      <c r="M314" s="233">
        <f>_xlfn.XLOOKUP(G314,'Master Budget'!$G$4:$G$360,'Master Budget'!$O$4:$O$360,0)</f>
        <v>53023.255799999999</v>
      </c>
      <c r="N314" s="233">
        <f>_xlfn.XLOOKUP(G314,'Master Budget'!$G$4:$G$360,'Master Budget'!$P$4:$P$360,0)</f>
        <v>114383.75237599999</v>
      </c>
    </row>
    <row r="315" spans="1:14" x14ac:dyDescent="0.25">
      <c r="A315">
        <v>319</v>
      </c>
      <c r="B315" t="s">
        <v>102</v>
      </c>
      <c r="C315" s="234">
        <v>52</v>
      </c>
      <c r="D315">
        <v>100</v>
      </c>
      <c r="E315" t="s">
        <v>9</v>
      </c>
      <c r="F315" t="str">
        <f t="shared" si="9"/>
        <v>100 - Salaries and Benefits</v>
      </c>
      <c r="G315" t="s">
        <v>738</v>
      </c>
      <c r="H315" t="s">
        <v>110</v>
      </c>
      <c r="I315" s="155">
        <v>1322.95</v>
      </c>
      <c r="J315" s="155">
        <v>1005.24</v>
      </c>
      <c r="K315" s="155">
        <f t="shared" si="10"/>
        <v>1340.32</v>
      </c>
      <c r="L315" s="155">
        <v>5007.4078656000002</v>
      </c>
      <c r="M315" s="233">
        <f>_xlfn.XLOOKUP(G315,'Master Budget'!$G$4:$G$360,'Master Budget'!$O$4:$O$360,0)</f>
        <v>4985.4406399999998</v>
      </c>
      <c r="N315" s="233">
        <f>_xlfn.XLOOKUP(G315,'Master Budget'!$G$4:$G$360,'Master Budget'!$P$4:$P$360,0)</f>
        <v>4006.0952379999999</v>
      </c>
    </row>
    <row r="316" spans="1:14" x14ac:dyDescent="0.25">
      <c r="A316">
        <v>320</v>
      </c>
      <c r="B316" t="s">
        <v>102</v>
      </c>
      <c r="C316" s="234">
        <v>52</v>
      </c>
      <c r="D316">
        <v>100</v>
      </c>
      <c r="E316" t="s">
        <v>9</v>
      </c>
      <c r="F316" t="str">
        <f t="shared" si="9"/>
        <v>100 - Salaries and Benefits</v>
      </c>
      <c r="G316" t="s">
        <v>739</v>
      </c>
      <c r="H316" t="s">
        <v>112</v>
      </c>
      <c r="I316" s="155">
        <v>10894.21</v>
      </c>
      <c r="J316" s="155">
        <v>12460.09</v>
      </c>
      <c r="K316" s="155">
        <f t="shared" si="10"/>
        <v>16613.453333333335</v>
      </c>
      <c r="L316" s="155">
        <v>0</v>
      </c>
      <c r="M316" s="233">
        <f>_xlfn.XLOOKUP(G316,'Master Budget'!$G$4:$G$360,'Master Budget'!$O$4:$O$360,0)</f>
        <v>0</v>
      </c>
      <c r="N316" s="233">
        <f>_xlfn.XLOOKUP(G316,'Master Budget'!$G$4:$G$360,'Master Budget'!$P$4:$P$360,0)</f>
        <v>0</v>
      </c>
    </row>
    <row r="317" spans="1:14" x14ac:dyDescent="0.25">
      <c r="A317">
        <v>321</v>
      </c>
      <c r="B317" t="s">
        <v>102</v>
      </c>
      <c r="C317" s="234">
        <v>52</v>
      </c>
      <c r="D317">
        <v>100</v>
      </c>
      <c r="E317" t="s">
        <v>9</v>
      </c>
      <c r="F317" t="str">
        <f t="shared" si="9"/>
        <v>100 - Salaries and Benefits</v>
      </c>
      <c r="G317" t="s">
        <v>740</v>
      </c>
      <c r="H317" t="s">
        <v>114</v>
      </c>
      <c r="I317" s="155">
        <v>5.84</v>
      </c>
      <c r="J317" s="155">
        <v>9.86</v>
      </c>
      <c r="K317" s="155">
        <f t="shared" si="10"/>
        <v>13.146666666666665</v>
      </c>
      <c r="L317" s="155">
        <v>76.800000000000011</v>
      </c>
      <c r="M317" s="233">
        <f>_xlfn.XLOOKUP(G317,'Master Budget'!$G$4:$G$360,'Master Budget'!$O$4:$O$360,0)</f>
        <v>76.800000000000011</v>
      </c>
      <c r="N317" s="233">
        <f>_xlfn.XLOOKUP(G317,'Master Budget'!$G$4:$G$360,'Master Budget'!$P$4:$P$360,0)</f>
        <v>134.40000000000003</v>
      </c>
    </row>
    <row r="318" spans="1:14" x14ac:dyDescent="0.25">
      <c r="A318">
        <v>322</v>
      </c>
      <c r="B318" t="s">
        <v>102</v>
      </c>
      <c r="C318" s="234">
        <v>52</v>
      </c>
      <c r="D318">
        <v>100</v>
      </c>
      <c r="E318" t="s">
        <v>9</v>
      </c>
      <c r="F318" t="str">
        <f t="shared" ref="F318:F381" si="11">D318&amp;" - "&amp;E318</f>
        <v>100 - Salaries and Benefits</v>
      </c>
      <c r="G318" t="s">
        <v>741</v>
      </c>
      <c r="H318" t="s">
        <v>276</v>
      </c>
      <c r="I318" s="155">
        <v>1149.5</v>
      </c>
      <c r="J318" s="155">
        <v>54.18</v>
      </c>
      <c r="K318" s="155">
        <f t="shared" si="10"/>
        <v>72.239999999999995</v>
      </c>
      <c r="L318" s="155">
        <v>600</v>
      </c>
      <c r="M318" s="233">
        <f>_xlfn.XLOOKUP(G318,'Master Budget'!$G$4:$G$360,'Master Budget'!$O$4:$O$360,0)</f>
        <v>600</v>
      </c>
      <c r="N318" s="233">
        <f>_xlfn.XLOOKUP(G318,'Master Budget'!$G$4:$G$360,'Master Budget'!$P$4:$P$360,0)</f>
        <v>600</v>
      </c>
    </row>
    <row r="319" spans="1:14" x14ac:dyDescent="0.25">
      <c r="A319">
        <v>323</v>
      </c>
      <c r="B319" t="s">
        <v>102</v>
      </c>
      <c r="C319" s="234">
        <v>52</v>
      </c>
      <c r="D319">
        <v>200</v>
      </c>
      <c r="E319" t="s">
        <v>10</v>
      </c>
      <c r="F319" t="str">
        <f t="shared" si="11"/>
        <v>200 - General and Administrative</v>
      </c>
      <c r="G319" t="s">
        <v>743</v>
      </c>
      <c r="H319" t="s">
        <v>1054</v>
      </c>
      <c r="I319" s="155">
        <v>6183.16</v>
      </c>
      <c r="J319" s="155">
        <v>5671.47</v>
      </c>
      <c r="K319" s="155">
        <f t="shared" si="10"/>
        <v>7561.9600000000009</v>
      </c>
      <c r="L319" s="155">
        <v>7000</v>
      </c>
      <c r="M319" s="233">
        <f>_xlfn.XLOOKUP(G319,'Master Budget'!$G$4:$G$360,'Master Budget'!$O$4:$O$360,0)</f>
        <v>7000</v>
      </c>
      <c r="N319" s="233">
        <f>_xlfn.XLOOKUP(G319,'Master Budget'!$G$4:$G$360,'Master Budget'!$P$4:$P$360,0)</f>
        <v>7000</v>
      </c>
    </row>
    <row r="320" spans="1:14" x14ac:dyDescent="0.25">
      <c r="A320">
        <v>324</v>
      </c>
      <c r="B320" t="s">
        <v>102</v>
      </c>
      <c r="C320" s="234">
        <v>52</v>
      </c>
      <c r="D320">
        <v>200</v>
      </c>
      <c r="E320" t="s">
        <v>10</v>
      </c>
      <c r="F320" t="str">
        <f t="shared" si="11"/>
        <v>200 - General and Administrative</v>
      </c>
      <c r="G320" t="s">
        <v>744</v>
      </c>
      <c r="H320" t="s">
        <v>1055</v>
      </c>
      <c r="I320" s="155">
        <v>2768.61</v>
      </c>
      <c r="J320" s="155">
        <v>8708.06</v>
      </c>
      <c r="K320" s="155">
        <f t="shared" si="10"/>
        <v>11610.746666666666</v>
      </c>
      <c r="L320" s="155">
        <v>2800</v>
      </c>
      <c r="M320" s="233">
        <f>_xlfn.XLOOKUP(G320,'Master Budget'!$G$4:$G$360,'Master Budget'!$O$4:$O$360,0)</f>
        <v>12000</v>
      </c>
      <c r="N320" s="233">
        <f>_xlfn.XLOOKUP(G320,'Master Budget'!$G$4:$G$360,'Master Budget'!$P$4:$P$360,0)</f>
        <v>12000</v>
      </c>
    </row>
    <row r="321" spans="1:14" x14ac:dyDescent="0.25">
      <c r="A321">
        <v>325</v>
      </c>
      <c r="B321" t="s">
        <v>102</v>
      </c>
      <c r="C321" s="234">
        <v>52</v>
      </c>
      <c r="D321">
        <v>200</v>
      </c>
      <c r="E321" t="s">
        <v>10</v>
      </c>
      <c r="F321" t="str">
        <f t="shared" si="11"/>
        <v>200 - General and Administrative</v>
      </c>
      <c r="G321" t="s">
        <v>745</v>
      </c>
      <c r="H321" t="s">
        <v>124</v>
      </c>
      <c r="I321" s="155">
        <v>6815.07</v>
      </c>
      <c r="J321" s="155">
        <v>7418.56</v>
      </c>
      <c r="K321" s="155">
        <f t="shared" si="10"/>
        <v>9891.4133333333339</v>
      </c>
      <c r="L321" s="155">
        <v>10000</v>
      </c>
      <c r="M321" s="233">
        <f>_xlfn.XLOOKUP(G321,'Master Budget'!$G$4:$G$360,'Master Budget'!$O$4:$O$360,0)</f>
        <v>10000</v>
      </c>
      <c r="N321" s="233">
        <f>_xlfn.XLOOKUP(G321,'Master Budget'!$G$4:$G$360,'Master Budget'!$P$4:$P$360,0)</f>
        <v>10000</v>
      </c>
    </row>
    <row r="322" spans="1:14" x14ac:dyDescent="0.25">
      <c r="A322">
        <v>326</v>
      </c>
      <c r="B322" t="s">
        <v>102</v>
      </c>
      <c r="C322" s="234">
        <v>52</v>
      </c>
      <c r="D322">
        <v>200</v>
      </c>
      <c r="E322" t="s">
        <v>10</v>
      </c>
      <c r="F322" t="str">
        <f t="shared" si="11"/>
        <v>200 - General and Administrative</v>
      </c>
      <c r="G322" t="s">
        <v>746</v>
      </c>
      <c r="H322" t="s">
        <v>126</v>
      </c>
      <c r="I322" s="155">
        <v>4596.22</v>
      </c>
      <c r="J322" s="155">
        <v>2607.86</v>
      </c>
      <c r="K322" s="155">
        <f t="shared" si="10"/>
        <v>3477.146666666667</v>
      </c>
      <c r="L322" s="155">
        <v>8000</v>
      </c>
      <c r="M322" s="233">
        <f>_xlfn.XLOOKUP(G322,'Master Budget'!$G$4:$G$360,'Master Budget'!$O$4:$O$360,0)</f>
        <v>8000</v>
      </c>
      <c r="N322" s="233">
        <f>_xlfn.XLOOKUP(G322,'Master Budget'!$G$4:$G$360,'Master Budget'!$P$4:$P$360,0)</f>
        <v>8000</v>
      </c>
    </row>
    <row r="323" spans="1:14" x14ac:dyDescent="0.25">
      <c r="A323">
        <v>327</v>
      </c>
      <c r="B323" t="s">
        <v>102</v>
      </c>
      <c r="C323" s="234">
        <v>52</v>
      </c>
      <c r="D323">
        <v>200</v>
      </c>
      <c r="E323" t="s">
        <v>10</v>
      </c>
      <c r="F323" t="str">
        <f t="shared" si="11"/>
        <v>200 - General and Administrative</v>
      </c>
      <c r="G323" t="s">
        <v>747</v>
      </c>
      <c r="H323" t="s">
        <v>287</v>
      </c>
      <c r="I323" s="155">
        <v>6539.66</v>
      </c>
      <c r="J323" s="155">
        <v>2533.3000000000002</v>
      </c>
      <c r="K323" s="155">
        <f t="shared" si="10"/>
        <v>3377.7333333333336</v>
      </c>
      <c r="L323" s="155">
        <v>6000</v>
      </c>
      <c r="M323" s="233">
        <f>_xlfn.XLOOKUP(G323,'Master Budget'!$G$4:$G$360,'Master Budget'!$O$4:$O$360,0)</f>
        <v>6000</v>
      </c>
      <c r="N323" s="233">
        <f>_xlfn.XLOOKUP(G323,'Master Budget'!$G$4:$G$360,'Master Budget'!$P$4:$P$360,0)</f>
        <v>6000</v>
      </c>
    </row>
    <row r="324" spans="1:14" x14ac:dyDescent="0.25">
      <c r="A324">
        <v>328</v>
      </c>
      <c r="B324" t="s">
        <v>102</v>
      </c>
      <c r="C324" s="234">
        <v>52</v>
      </c>
      <c r="D324">
        <v>200</v>
      </c>
      <c r="E324" t="s">
        <v>10</v>
      </c>
      <c r="F324" t="str">
        <f t="shared" si="11"/>
        <v>200 - General and Administrative</v>
      </c>
      <c r="G324" t="s">
        <v>748</v>
      </c>
      <c r="H324" t="s">
        <v>132</v>
      </c>
      <c r="I324" s="155">
        <v>73683</v>
      </c>
      <c r="J324" s="155">
        <v>2815.98</v>
      </c>
      <c r="K324" s="155">
        <f t="shared" si="10"/>
        <v>3754.64</v>
      </c>
      <c r="L324" s="155">
        <v>100000</v>
      </c>
      <c r="M324" s="233">
        <f>_xlfn.XLOOKUP(G324,'Master Budget'!$G$4:$G$360,'Master Budget'!$O$4:$O$360,0)</f>
        <v>100000</v>
      </c>
      <c r="N324" s="233">
        <f>_xlfn.XLOOKUP(G324,'Master Budget'!$G$4:$G$360,'Master Budget'!$P$4:$P$360,0)</f>
        <v>100000</v>
      </c>
    </row>
    <row r="325" spans="1:14" x14ac:dyDescent="0.25">
      <c r="A325">
        <v>329</v>
      </c>
      <c r="B325" t="s">
        <v>102</v>
      </c>
      <c r="C325" s="234">
        <v>52</v>
      </c>
      <c r="D325">
        <v>200</v>
      </c>
      <c r="E325" t="s">
        <v>10</v>
      </c>
      <c r="F325" t="str">
        <f t="shared" si="11"/>
        <v>200 - General and Administrative</v>
      </c>
      <c r="G325" t="s">
        <v>749</v>
      </c>
      <c r="H325" t="s">
        <v>291</v>
      </c>
      <c r="I325" s="155">
        <v>248.31</v>
      </c>
      <c r="J325" s="155">
        <v>31.2</v>
      </c>
      <c r="K325" s="155">
        <f t="shared" si="10"/>
        <v>41.6</v>
      </c>
      <c r="L325" s="155">
        <v>500</v>
      </c>
      <c r="M325" s="233">
        <f>_xlfn.XLOOKUP(G325,'Master Budget'!$G$4:$G$360,'Master Budget'!$O$4:$O$360,0)</f>
        <v>500</v>
      </c>
      <c r="N325" s="233">
        <f>_xlfn.XLOOKUP(G325,'Master Budget'!$G$4:$G$360,'Master Budget'!$P$4:$P$360,0)</f>
        <v>500</v>
      </c>
    </row>
    <row r="326" spans="1:14" x14ac:dyDescent="0.25">
      <c r="A326">
        <v>330</v>
      </c>
      <c r="B326" t="s">
        <v>102</v>
      </c>
      <c r="C326" s="234">
        <v>52</v>
      </c>
      <c r="D326">
        <v>200</v>
      </c>
      <c r="E326" t="s">
        <v>10</v>
      </c>
      <c r="F326" t="str">
        <f t="shared" si="11"/>
        <v>200 - General and Administrative</v>
      </c>
      <c r="G326" t="s">
        <v>751</v>
      </c>
      <c r="H326" t="s">
        <v>297</v>
      </c>
      <c r="I326" s="155">
        <v>5682.83</v>
      </c>
      <c r="J326" s="155">
        <v>4518.37</v>
      </c>
      <c r="K326" s="155">
        <f t="shared" si="10"/>
        <v>6024.4933333333329</v>
      </c>
      <c r="L326" s="155">
        <v>6500</v>
      </c>
      <c r="M326" s="233">
        <f>_xlfn.XLOOKUP(G326,'Master Budget'!$G$4:$G$360,'Master Budget'!$O$4:$O$360,0)</f>
        <v>6500</v>
      </c>
      <c r="N326" s="233">
        <f>_xlfn.XLOOKUP(G326,'Master Budget'!$G$4:$G$360,'Master Budget'!$P$4:$P$360,0)</f>
        <v>6500</v>
      </c>
    </row>
    <row r="327" spans="1:14" x14ac:dyDescent="0.25">
      <c r="A327">
        <v>331</v>
      </c>
      <c r="B327" t="s">
        <v>102</v>
      </c>
      <c r="C327" s="234">
        <v>52</v>
      </c>
      <c r="D327">
        <v>200</v>
      </c>
      <c r="E327" t="s">
        <v>10</v>
      </c>
      <c r="F327" t="str">
        <f t="shared" si="11"/>
        <v>200 - General and Administrative</v>
      </c>
      <c r="G327" t="s">
        <v>752</v>
      </c>
      <c r="H327" t="s">
        <v>303</v>
      </c>
      <c r="I327" s="155">
        <v>18165.23</v>
      </c>
      <c r="J327" s="155">
        <v>18479.64</v>
      </c>
      <c r="K327" s="155">
        <f t="shared" si="10"/>
        <v>24639.519999999997</v>
      </c>
      <c r="L327" s="155">
        <v>20000</v>
      </c>
      <c r="M327" s="233">
        <f>_xlfn.XLOOKUP(G327,'Master Budget'!$G$4:$G$360,'Master Budget'!$O$4:$O$360,0)</f>
        <v>20000</v>
      </c>
      <c r="N327" s="233">
        <f>_xlfn.XLOOKUP(G327,'Master Budget'!$G$4:$G$360,'Master Budget'!$P$4:$P$360,0)</f>
        <v>20000</v>
      </c>
    </row>
    <row r="328" spans="1:14" x14ac:dyDescent="0.25">
      <c r="A328">
        <v>332</v>
      </c>
      <c r="B328" t="s">
        <v>102</v>
      </c>
      <c r="C328" s="234">
        <v>52</v>
      </c>
      <c r="D328">
        <v>500</v>
      </c>
      <c r="E328" t="s">
        <v>11</v>
      </c>
      <c r="F328" t="str">
        <f t="shared" si="11"/>
        <v>500 - Repairs and Maintenance</v>
      </c>
      <c r="G328" t="s">
        <v>753</v>
      </c>
      <c r="H328" t="s">
        <v>754</v>
      </c>
      <c r="I328" s="155">
        <v>1764.42</v>
      </c>
      <c r="J328" s="155">
        <v>1012.84</v>
      </c>
      <c r="K328" s="155">
        <f t="shared" si="10"/>
        <v>1350.4533333333334</v>
      </c>
      <c r="L328" s="155">
        <v>1850</v>
      </c>
      <c r="M328" s="233">
        <f>_xlfn.XLOOKUP(G328,'Master Budget'!$G$4:$G$360,'Master Budget'!$O$4:$O$360,0)</f>
        <v>1850</v>
      </c>
      <c r="N328" s="233">
        <f>_xlfn.XLOOKUP(G328,'Master Budget'!$G$4:$G$360,'Master Budget'!$P$4:$P$360,0)</f>
        <v>1850</v>
      </c>
    </row>
    <row r="329" spans="1:14" x14ac:dyDescent="0.25">
      <c r="A329">
        <v>333</v>
      </c>
      <c r="B329" t="s">
        <v>102</v>
      </c>
      <c r="C329" s="234">
        <v>52</v>
      </c>
      <c r="D329">
        <v>500</v>
      </c>
      <c r="E329" t="s">
        <v>11</v>
      </c>
      <c r="F329" t="str">
        <f t="shared" si="11"/>
        <v>500 - Repairs and Maintenance</v>
      </c>
      <c r="G329" t="s">
        <v>755</v>
      </c>
      <c r="H329" t="s">
        <v>311</v>
      </c>
      <c r="I329" s="155">
        <v>2479.7199999999998</v>
      </c>
      <c r="J329" s="155">
        <v>2275.44</v>
      </c>
      <c r="K329" s="155">
        <f t="shared" si="10"/>
        <v>3033.92</v>
      </c>
      <c r="L329" s="155">
        <v>3000</v>
      </c>
      <c r="M329" s="233">
        <f>_xlfn.XLOOKUP(G329,'Master Budget'!$G$4:$G$360,'Master Budget'!$O$4:$O$360,0)</f>
        <v>3500</v>
      </c>
      <c r="N329" s="233">
        <f>_xlfn.XLOOKUP(G329,'Master Budget'!$G$4:$G$360,'Master Budget'!$P$4:$P$360,0)</f>
        <v>3500</v>
      </c>
    </row>
    <row r="330" spans="1:14" x14ac:dyDescent="0.25">
      <c r="A330">
        <v>334</v>
      </c>
      <c r="B330" t="s">
        <v>102</v>
      </c>
      <c r="C330" s="234">
        <v>52</v>
      </c>
      <c r="D330">
        <v>500</v>
      </c>
      <c r="E330" t="s">
        <v>11</v>
      </c>
      <c r="F330" t="str">
        <f t="shared" si="11"/>
        <v>500 - Repairs and Maintenance</v>
      </c>
      <c r="G330" t="s">
        <v>756</v>
      </c>
      <c r="H330" t="s">
        <v>313</v>
      </c>
      <c r="I330" s="155">
        <v>3381.39</v>
      </c>
      <c r="J330" s="155">
        <v>9338.35</v>
      </c>
      <c r="K330" s="155">
        <f t="shared" si="10"/>
        <v>12451.133333333333</v>
      </c>
      <c r="L330" s="155">
        <v>4000</v>
      </c>
      <c r="M330" s="233">
        <f>_xlfn.XLOOKUP(G330,'Master Budget'!$G$4:$G$360,'Master Budget'!$O$4:$O$360,0)</f>
        <v>15000</v>
      </c>
      <c r="N330" s="233">
        <f>_xlfn.XLOOKUP(G330,'Master Budget'!$G$4:$G$360,'Master Budget'!$P$4:$P$360,0)</f>
        <v>5000</v>
      </c>
    </row>
    <row r="331" spans="1:14" x14ac:dyDescent="0.25">
      <c r="A331">
        <v>335</v>
      </c>
      <c r="B331" t="s">
        <v>102</v>
      </c>
      <c r="C331" s="234">
        <v>52</v>
      </c>
      <c r="D331">
        <v>500</v>
      </c>
      <c r="E331" t="s">
        <v>11</v>
      </c>
      <c r="F331" t="str">
        <f t="shared" si="11"/>
        <v>500 - Repairs and Maintenance</v>
      </c>
      <c r="G331" t="s">
        <v>1089</v>
      </c>
      <c r="H331" t="s">
        <v>144</v>
      </c>
      <c r="I331" s="155">
        <v>0</v>
      </c>
      <c r="J331" s="155">
        <v>0</v>
      </c>
      <c r="K331" s="155">
        <f t="shared" si="10"/>
        <v>0</v>
      </c>
      <c r="L331" s="155">
        <v>0</v>
      </c>
      <c r="M331" s="233">
        <f>_xlfn.XLOOKUP(G331,'Master Budget'!$G$4:$G$360,'Master Budget'!$O$4:$O$360,0)</f>
        <v>0</v>
      </c>
      <c r="N331" s="233">
        <f>_xlfn.XLOOKUP(G331,'Master Budget'!$G$4:$G$360,'Master Budget'!$P$4:$P$360,0)</f>
        <v>0</v>
      </c>
    </row>
    <row r="332" spans="1:14" x14ac:dyDescent="0.25">
      <c r="A332">
        <v>336</v>
      </c>
      <c r="B332" t="s">
        <v>102</v>
      </c>
      <c r="C332" s="234">
        <v>52</v>
      </c>
      <c r="D332">
        <v>200</v>
      </c>
      <c r="E332" t="s">
        <v>10</v>
      </c>
      <c r="F332" t="str">
        <f t="shared" si="11"/>
        <v>200 - General and Administrative</v>
      </c>
      <c r="G332" t="s">
        <v>757</v>
      </c>
      <c r="H332" t="s">
        <v>498</v>
      </c>
      <c r="I332" s="155">
        <v>0</v>
      </c>
      <c r="J332" s="155">
        <v>0</v>
      </c>
      <c r="K332" s="155">
        <f t="shared" si="10"/>
        <v>0</v>
      </c>
      <c r="L332" s="155">
        <v>20000</v>
      </c>
      <c r="M332" s="233">
        <f>_xlfn.XLOOKUP(G332,'Master Budget'!$G$4:$G$360,'Master Budget'!$O$4:$O$360,0)</f>
        <v>0</v>
      </c>
      <c r="N332" s="233">
        <f>_xlfn.XLOOKUP(G332,'Master Budget'!$G$4:$G$360,'Master Budget'!$P$4:$P$360,0)</f>
        <v>0</v>
      </c>
    </row>
    <row r="333" spans="1:14" x14ac:dyDescent="0.25">
      <c r="A333">
        <v>337</v>
      </c>
      <c r="B333" t="s">
        <v>102</v>
      </c>
      <c r="C333" s="234">
        <v>52</v>
      </c>
      <c r="D333">
        <v>200</v>
      </c>
      <c r="E333" t="s">
        <v>10</v>
      </c>
      <c r="F333" t="str">
        <f t="shared" si="11"/>
        <v>200 - General and Administrative</v>
      </c>
      <c r="G333" t="s">
        <v>758</v>
      </c>
      <c r="H333" t="s">
        <v>322</v>
      </c>
      <c r="I333" s="155">
        <v>0</v>
      </c>
      <c r="J333" s="155">
        <v>0</v>
      </c>
      <c r="K333" s="155">
        <f t="shared" si="10"/>
        <v>0</v>
      </c>
      <c r="L333" s="155">
        <v>8000</v>
      </c>
      <c r="M333" s="233">
        <f>_xlfn.XLOOKUP(G333,'Master Budget'!$G$4:$G$360,'Master Budget'!$O$4:$O$360,0)</f>
        <v>0</v>
      </c>
      <c r="N333" s="233">
        <f>_xlfn.XLOOKUP(G333,'Master Budget'!$G$4:$G$360,'Master Budget'!$P$4:$P$360,0)</f>
        <v>0</v>
      </c>
    </row>
    <row r="334" spans="1:14" x14ac:dyDescent="0.25">
      <c r="A334">
        <v>338</v>
      </c>
      <c r="B334" t="s">
        <v>102</v>
      </c>
      <c r="C334" s="234">
        <v>52</v>
      </c>
      <c r="D334">
        <v>200</v>
      </c>
      <c r="E334" t="s">
        <v>10</v>
      </c>
      <c r="F334" t="str">
        <f t="shared" si="11"/>
        <v>200 - General and Administrative</v>
      </c>
      <c r="G334" t="s">
        <v>759</v>
      </c>
      <c r="H334" t="s">
        <v>1080</v>
      </c>
      <c r="I334" s="155">
        <v>3853.03</v>
      </c>
      <c r="J334" s="155">
        <v>2897.27</v>
      </c>
      <c r="K334" s="155">
        <f t="shared" si="10"/>
        <v>3863.0266666666666</v>
      </c>
      <c r="L334" s="155">
        <v>3900</v>
      </c>
      <c r="M334" s="233">
        <f>_xlfn.XLOOKUP(G334,'Master Budget'!$G$4:$G$360,'Master Budget'!$O$4:$O$360,0)</f>
        <v>3900</v>
      </c>
      <c r="N334" s="233">
        <f>_xlfn.XLOOKUP(G334,'Master Budget'!$G$4:$G$360,'Master Budget'!$P$4:$P$360,0)</f>
        <v>3900</v>
      </c>
    </row>
    <row r="335" spans="1:14" x14ac:dyDescent="0.25">
      <c r="A335">
        <v>339</v>
      </c>
      <c r="B335" t="s">
        <v>102</v>
      </c>
      <c r="C335" s="234">
        <v>52</v>
      </c>
      <c r="D335">
        <v>200</v>
      </c>
      <c r="E335" t="s">
        <v>10</v>
      </c>
      <c r="F335" t="str">
        <f t="shared" si="11"/>
        <v>200 - General and Administrative</v>
      </c>
      <c r="G335" t="s">
        <v>760</v>
      </c>
      <c r="H335" t="s">
        <v>1069</v>
      </c>
      <c r="I335" s="155">
        <v>979.88</v>
      </c>
      <c r="J335" s="155">
        <v>962.84</v>
      </c>
      <c r="K335" s="155">
        <f t="shared" ref="K335:K388" si="12">J335/9*12</f>
        <v>1283.7866666666666</v>
      </c>
      <c r="L335" s="155">
        <v>1600</v>
      </c>
      <c r="M335" s="233">
        <f>_xlfn.XLOOKUP(G335,'Master Budget'!$G$4:$G$360,'Master Budget'!$O$4:$O$360,0)</f>
        <v>1600</v>
      </c>
      <c r="N335" s="233">
        <f>_xlfn.XLOOKUP(G335,'Master Budget'!$G$4:$G$360,'Master Budget'!$P$4:$P$360,0)</f>
        <v>1600</v>
      </c>
    </row>
    <row r="336" spans="1:14" x14ac:dyDescent="0.25">
      <c r="A336">
        <v>340</v>
      </c>
      <c r="B336" t="s">
        <v>102</v>
      </c>
      <c r="C336" s="234">
        <v>52</v>
      </c>
      <c r="D336">
        <v>200</v>
      </c>
      <c r="E336" t="s">
        <v>10</v>
      </c>
      <c r="F336" t="str">
        <f t="shared" si="11"/>
        <v>200 - General and Administrative</v>
      </c>
      <c r="G336" t="s">
        <v>1090</v>
      </c>
      <c r="H336" t="s">
        <v>1063</v>
      </c>
      <c r="I336" s="155">
        <v>0</v>
      </c>
      <c r="J336" s="155">
        <v>0</v>
      </c>
      <c r="K336" s="155">
        <f t="shared" si="12"/>
        <v>0</v>
      </c>
      <c r="L336" s="155">
        <v>0</v>
      </c>
      <c r="M336" s="233">
        <f>_xlfn.XLOOKUP(G336,'Master Budget'!$G$4:$G$360,'Master Budget'!$O$4:$O$360,0)</f>
        <v>0</v>
      </c>
      <c r="N336" s="233">
        <f>_xlfn.XLOOKUP(G336,'Master Budget'!$G$4:$G$360,'Master Budget'!$P$4:$P$360,0)</f>
        <v>0</v>
      </c>
    </row>
    <row r="337" spans="1:14" x14ac:dyDescent="0.25">
      <c r="A337">
        <v>341</v>
      </c>
      <c r="B337" t="s">
        <v>102</v>
      </c>
      <c r="C337" s="234">
        <v>52</v>
      </c>
      <c r="D337">
        <v>200</v>
      </c>
      <c r="E337" t="s">
        <v>10</v>
      </c>
      <c r="F337" t="str">
        <f t="shared" si="11"/>
        <v>200 - General and Administrative</v>
      </c>
      <c r="G337" t="s">
        <v>761</v>
      </c>
      <c r="H337" t="s">
        <v>1082</v>
      </c>
      <c r="I337" s="155">
        <v>54.6</v>
      </c>
      <c r="J337" s="155">
        <v>373.76</v>
      </c>
      <c r="K337" s="155">
        <f t="shared" si="12"/>
        <v>498.34666666666664</v>
      </c>
      <c r="L337" s="155">
        <v>1500</v>
      </c>
      <c r="M337" s="233">
        <f>_xlfn.XLOOKUP(G337,'Master Budget'!$G$4:$G$360,'Master Budget'!$O$4:$O$360,0)</f>
        <v>1500</v>
      </c>
      <c r="N337" s="233">
        <f>_xlfn.XLOOKUP(G337,'Master Budget'!$G$4:$G$360,'Master Budget'!$P$4:$P$360,0)</f>
        <v>1500</v>
      </c>
    </row>
    <row r="338" spans="1:14" x14ac:dyDescent="0.25">
      <c r="A338">
        <v>342</v>
      </c>
      <c r="B338" t="s">
        <v>102</v>
      </c>
      <c r="C338" s="234">
        <v>52</v>
      </c>
      <c r="D338">
        <v>200</v>
      </c>
      <c r="E338" t="s">
        <v>10</v>
      </c>
      <c r="F338" t="str">
        <f t="shared" si="11"/>
        <v>200 - General and Administrative</v>
      </c>
      <c r="G338" t="s">
        <v>762</v>
      </c>
      <c r="H338" t="s">
        <v>162</v>
      </c>
      <c r="I338" s="155">
        <v>891.42</v>
      </c>
      <c r="J338" s="155">
        <v>616.75</v>
      </c>
      <c r="K338" s="155">
        <f t="shared" si="12"/>
        <v>822.33333333333326</v>
      </c>
      <c r="L338" s="155">
        <v>1000</v>
      </c>
      <c r="M338" s="233">
        <f>_xlfn.XLOOKUP(G338,'Master Budget'!$G$4:$G$360,'Master Budget'!$O$4:$O$360,0)</f>
        <v>1000</v>
      </c>
      <c r="N338" s="233">
        <f>_xlfn.XLOOKUP(G338,'Master Budget'!$G$4:$G$360,'Master Budget'!$P$4:$P$360,0)</f>
        <v>1000</v>
      </c>
    </row>
    <row r="339" spans="1:14" x14ac:dyDescent="0.25">
      <c r="A339">
        <v>343</v>
      </c>
      <c r="B339" t="s">
        <v>102</v>
      </c>
      <c r="C339" s="234">
        <v>52</v>
      </c>
      <c r="D339">
        <v>200</v>
      </c>
      <c r="E339" t="s">
        <v>10</v>
      </c>
      <c r="F339" t="str">
        <f t="shared" si="11"/>
        <v>200 - General and Administrative</v>
      </c>
      <c r="G339" t="s">
        <v>763</v>
      </c>
      <c r="H339" t="s">
        <v>1091</v>
      </c>
      <c r="I339" s="155">
        <v>977.09</v>
      </c>
      <c r="J339" s="155">
        <v>585.16999999999996</v>
      </c>
      <c r="K339" s="155">
        <f t="shared" si="12"/>
        <v>780.22666666666657</v>
      </c>
      <c r="L339" s="155">
        <v>1500</v>
      </c>
      <c r="M339" s="233">
        <f>_xlfn.XLOOKUP(G339,'Master Budget'!$G$4:$G$360,'Master Budget'!$O$4:$O$360,0)</f>
        <v>2000</v>
      </c>
      <c r="N339" s="233">
        <f>_xlfn.XLOOKUP(G339,'Master Budget'!$G$4:$G$360,'Master Budget'!$P$4:$P$360,0)</f>
        <v>2000</v>
      </c>
    </row>
    <row r="340" spans="1:14" x14ac:dyDescent="0.25">
      <c r="A340">
        <v>344</v>
      </c>
      <c r="B340" t="s">
        <v>102</v>
      </c>
      <c r="C340" s="234">
        <v>52</v>
      </c>
      <c r="D340">
        <v>200</v>
      </c>
      <c r="E340" t="s">
        <v>10</v>
      </c>
      <c r="F340" t="str">
        <f t="shared" si="11"/>
        <v>200 - General and Administrative</v>
      </c>
      <c r="G340" t="s">
        <v>764</v>
      </c>
      <c r="H340" t="s">
        <v>130</v>
      </c>
      <c r="I340" s="155">
        <v>7424</v>
      </c>
      <c r="J340" s="155">
        <v>948.12</v>
      </c>
      <c r="K340" s="155">
        <f t="shared" si="12"/>
        <v>1264.1599999999999</v>
      </c>
      <c r="L340" s="155">
        <v>15000</v>
      </c>
      <c r="M340" s="233">
        <f>_xlfn.XLOOKUP(G340,'Master Budget'!$G$4:$G$360,'Master Budget'!$O$4:$O$360,0)</f>
        <v>15000</v>
      </c>
      <c r="N340" s="233">
        <f>_xlfn.XLOOKUP(G340,'Master Budget'!$G$4:$G$360,'Master Budget'!$P$4:$P$360,0)</f>
        <v>15000</v>
      </c>
    </row>
    <row r="341" spans="1:14" x14ac:dyDescent="0.25">
      <c r="A341">
        <v>345</v>
      </c>
      <c r="B341" t="s">
        <v>102</v>
      </c>
      <c r="C341" s="234">
        <v>52</v>
      </c>
      <c r="D341">
        <v>200</v>
      </c>
      <c r="E341" t="s">
        <v>10</v>
      </c>
      <c r="F341" t="str">
        <f t="shared" si="11"/>
        <v>200 - General and Administrative</v>
      </c>
      <c r="G341" t="s">
        <v>765</v>
      </c>
      <c r="H341" t="s">
        <v>766</v>
      </c>
      <c r="I341" s="155">
        <v>24532.66</v>
      </c>
      <c r="J341" s="155">
        <v>19187.23</v>
      </c>
      <c r="K341" s="155">
        <f t="shared" si="12"/>
        <v>25582.973333333335</v>
      </c>
      <c r="L341" s="155">
        <v>25000</v>
      </c>
      <c r="M341" s="233">
        <f>_xlfn.XLOOKUP(G341,'Master Budget'!$G$4:$G$360,'Master Budget'!$O$4:$O$360,0)</f>
        <v>25000</v>
      </c>
      <c r="N341" s="233">
        <f>_xlfn.XLOOKUP(G341,'Master Budget'!$G$4:$G$360,'Master Budget'!$P$4:$P$360,0)</f>
        <v>25000</v>
      </c>
    </row>
    <row r="342" spans="1:14" x14ac:dyDescent="0.25">
      <c r="A342">
        <v>346</v>
      </c>
      <c r="B342" t="s">
        <v>102</v>
      </c>
      <c r="C342" s="234">
        <v>52</v>
      </c>
      <c r="D342">
        <v>200</v>
      </c>
      <c r="E342" t="s">
        <v>10</v>
      </c>
      <c r="F342" t="str">
        <f t="shared" si="11"/>
        <v>200 - General and Administrative</v>
      </c>
      <c r="G342" t="s">
        <v>767</v>
      </c>
      <c r="H342" t="s">
        <v>768</v>
      </c>
      <c r="I342" s="155">
        <v>16148.79</v>
      </c>
      <c r="J342" s="155">
        <v>5225.53</v>
      </c>
      <c r="K342" s="155">
        <f t="shared" si="12"/>
        <v>6967.373333333333</v>
      </c>
      <c r="L342" s="155">
        <v>25000</v>
      </c>
      <c r="M342" s="233">
        <f>_xlfn.XLOOKUP(G342,'Master Budget'!$G$4:$G$360,'Master Budget'!$O$4:$O$360,0)</f>
        <v>25000</v>
      </c>
      <c r="N342" s="233">
        <f>_xlfn.XLOOKUP(G342,'Master Budget'!$G$4:$G$360,'Master Budget'!$P$4:$P$360,0)</f>
        <v>25000</v>
      </c>
    </row>
    <row r="343" spans="1:14" x14ac:dyDescent="0.25">
      <c r="A343">
        <v>347</v>
      </c>
      <c r="B343" t="s">
        <v>102</v>
      </c>
      <c r="C343" s="234">
        <v>52</v>
      </c>
      <c r="D343">
        <v>200</v>
      </c>
      <c r="E343" t="s">
        <v>10</v>
      </c>
      <c r="F343" t="str">
        <f t="shared" si="11"/>
        <v>200 - General and Administrative</v>
      </c>
      <c r="G343" t="s">
        <v>770</v>
      </c>
      <c r="H343" t="s">
        <v>771</v>
      </c>
      <c r="I343" s="155">
        <v>1929.5</v>
      </c>
      <c r="J343" s="155">
        <v>1419.2</v>
      </c>
      <c r="K343" s="155">
        <f t="shared" si="12"/>
        <v>1892.2666666666669</v>
      </c>
      <c r="L343" s="155">
        <v>1500</v>
      </c>
      <c r="M343" s="233">
        <f>_xlfn.XLOOKUP(G343,'Master Budget'!$G$4:$G$360,'Master Budget'!$O$4:$O$360,0)</f>
        <v>1600</v>
      </c>
      <c r="N343" s="233">
        <f>_xlfn.XLOOKUP(G343,'Master Budget'!$G$4:$G$360,'Master Budget'!$P$4:$P$360,0)</f>
        <v>1600</v>
      </c>
    </row>
    <row r="344" spans="1:14" x14ac:dyDescent="0.25">
      <c r="A344">
        <v>348</v>
      </c>
      <c r="B344" t="s">
        <v>102</v>
      </c>
      <c r="C344" s="234">
        <v>52</v>
      </c>
      <c r="D344">
        <v>500</v>
      </c>
      <c r="E344" t="s">
        <v>11</v>
      </c>
      <c r="F344" t="str">
        <f t="shared" si="11"/>
        <v>500 - Repairs and Maintenance</v>
      </c>
      <c r="G344" t="s">
        <v>772</v>
      </c>
      <c r="H344" t="s">
        <v>432</v>
      </c>
      <c r="I344" s="155">
        <v>14977.99</v>
      </c>
      <c r="J344" s="155">
        <v>1109.1500000000001</v>
      </c>
      <c r="K344" s="155">
        <f t="shared" si="12"/>
        <v>1478.8666666666668</v>
      </c>
      <c r="L344" s="155">
        <v>23000</v>
      </c>
      <c r="M344" s="233">
        <f>_xlfn.XLOOKUP(G344,'Master Budget'!$G$4:$G$360,'Master Budget'!$O$4:$O$360,0)</f>
        <v>33000</v>
      </c>
      <c r="N344" s="233">
        <f>_xlfn.XLOOKUP(G344,'Master Budget'!$G$4:$G$360,'Master Budget'!$P$4:$P$360,0)</f>
        <v>33000</v>
      </c>
    </row>
    <row r="345" spans="1:14" x14ac:dyDescent="0.25">
      <c r="A345">
        <v>349</v>
      </c>
      <c r="B345" t="s">
        <v>102</v>
      </c>
      <c r="C345" s="234">
        <v>52</v>
      </c>
      <c r="D345">
        <v>200</v>
      </c>
      <c r="E345" t="s">
        <v>10</v>
      </c>
      <c r="F345" t="str">
        <f t="shared" si="11"/>
        <v>200 - General and Administrative</v>
      </c>
      <c r="G345" t="s">
        <v>773</v>
      </c>
      <c r="H345" t="s">
        <v>774</v>
      </c>
      <c r="I345" s="155">
        <v>8658.11</v>
      </c>
      <c r="J345" s="155">
        <v>6326.73</v>
      </c>
      <c r="K345" s="155">
        <f t="shared" si="12"/>
        <v>8435.64</v>
      </c>
      <c r="L345" s="155">
        <v>35000</v>
      </c>
      <c r="M345" s="233">
        <f>_xlfn.XLOOKUP(G345,'Master Budget'!$G$4:$G$360,'Master Budget'!$O$4:$O$360,0)</f>
        <v>35000</v>
      </c>
      <c r="N345" s="233">
        <f>_xlfn.XLOOKUP(G345,'Master Budget'!$G$4:$G$360,'Master Budget'!$P$4:$P$360,0)</f>
        <v>35000</v>
      </c>
    </row>
    <row r="346" spans="1:14" x14ac:dyDescent="0.25">
      <c r="A346">
        <v>350</v>
      </c>
      <c r="B346" t="s">
        <v>102</v>
      </c>
      <c r="C346" s="234">
        <v>52</v>
      </c>
      <c r="D346">
        <v>200</v>
      </c>
      <c r="E346" t="s">
        <v>10</v>
      </c>
      <c r="F346" t="str">
        <f t="shared" si="11"/>
        <v>200 - General and Administrative</v>
      </c>
      <c r="G346" t="s">
        <v>775</v>
      </c>
      <c r="H346" t="s">
        <v>776</v>
      </c>
      <c r="I346" s="155">
        <v>15271.24</v>
      </c>
      <c r="J346" s="155">
        <v>7177.92</v>
      </c>
      <c r="K346" s="155">
        <f t="shared" si="12"/>
        <v>9570.56</v>
      </c>
      <c r="L346" s="155">
        <v>20000</v>
      </c>
      <c r="M346" s="233">
        <f>_xlfn.XLOOKUP(G346,'Master Budget'!$G$4:$G$360,'Master Budget'!$O$4:$O$360,0)</f>
        <v>20000</v>
      </c>
      <c r="N346" s="233">
        <f>_xlfn.XLOOKUP(G346,'Master Budget'!$G$4:$G$360,'Master Budget'!$P$4:$P$360,0)</f>
        <v>20000</v>
      </c>
    </row>
    <row r="347" spans="1:14" x14ac:dyDescent="0.25">
      <c r="A347">
        <v>351</v>
      </c>
      <c r="B347" t="s">
        <v>102</v>
      </c>
      <c r="C347" s="234">
        <v>52</v>
      </c>
      <c r="D347">
        <v>200</v>
      </c>
      <c r="E347" t="s">
        <v>10</v>
      </c>
      <c r="F347" t="str">
        <f t="shared" si="11"/>
        <v>200 - General and Administrative</v>
      </c>
      <c r="G347" t="s">
        <v>777</v>
      </c>
      <c r="H347" t="s">
        <v>778</v>
      </c>
      <c r="I347" s="155">
        <v>15154</v>
      </c>
      <c r="J347" s="155">
        <v>1199</v>
      </c>
      <c r="K347" s="155">
        <f t="shared" si="12"/>
        <v>1598.6666666666667</v>
      </c>
      <c r="L347" s="155">
        <v>21000</v>
      </c>
      <c r="M347" s="233">
        <f>_xlfn.XLOOKUP(G347,'Master Budget'!$G$4:$G$360,'Master Budget'!$O$4:$O$360,0)</f>
        <v>21000</v>
      </c>
      <c r="N347" s="233">
        <f>_xlfn.XLOOKUP(G347,'Master Budget'!$G$4:$G$360,'Master Budget'!$P$4:$P$360,0)</f>
        <v>21000</v>
      </c>
    </row>
    <row r="348" spans="1:14" x14ac:dyDescent="0.25">
      <c r="A348">
        <v>352</v>
      </c>
      <c r="B348" t="s">
        <v>102</v>
      </c>
      <c r="C348" s="234">
        <v>52</v>
      </c>
      <c r="D348">
        <v>600</v>
      </c>
      <c r="E348" t="s">
        <v>13</v>
      </c>
      <c r="F348" t="str">
        <f t="shared" si="11"/>
        <v>600 - Bad Debt</v>
      </c>
      <c r="G348" t="s">
        <v>779</v>
      </c>
      <c r="H348" t="s">
        <v>315</v>
      </c>
      <c r="I348" s="155">
        <v>0</v>
      </c>
      <c r="J348" s="155">
        <v>0</v>
      </c>
      <c r="K348" s="155">
        <f t="shared" si="12"/>
        <v>0</v>
      </c>
      <c r="L348" s="155">
        <v>0</v>
      </c>
      <c r="M348" s="233">
        <f>_xlfn.XLOOKUP(G348,'Master Budget'!$G$4:$G$360,'Master Budget'!$O$4:$O$360,0)</f>
        <v>0</v>
      </c>
      <c r="N348" s="233">
        <f>_xlfn.XLOOKUP(G348,'Master Budget'!$G$4:$G$360,'Master Budget'!$P$4:$P$360,0)</f>
        <v>0</v>
      </c>
    </row>
    <row r="349" spans="1:14" x14ac:dyDescent="0.25">
      <c r="A349">
        <v>353</v>
      </c>
      <c r="B349" t="s">
        <v>102</v>
      </c>
      <c r="C349" s="234">
        <v>52</v>
      </c>
      <c r="D349">
        <v>970</v>
      </c>
      <c r="E349" t="s">
        <v>884</v>
      </c>
      <c r="F349" t="str">
        <f t="shared" si="11"/>
        <v>970 - Debt Principle Payments</v>
      </c>
      <c r="G349" t="s">
        <v>781</v>
      </c>
      <c r="H349" t="s">
        <v>665</v>
      </c>
      <c r="I349" s="155">
        <v>0</v>
      </c>
      <c r="J349" s="155">
        <v>0</v>
      </c>
      <c r="K349" s="155">
        <f t="shared" si="12"/>
        <v>0</v>
      </c>
      <c r="L349" s="155">
        <v>170325</v>
      </c>
      <c r="M349" s="233">
        <f>_xlfn.XLOOKUP(G349,'Master Budget'!$G$4:$G$360,'Master Budget'!$O$4:$O$360,0)</f>
        <v>430000</v>
      </c>
      <c r="N349" s="233">
        <f>_xlfn.XLOOKUP(G349,'Master Budget'!$G$4:$G$360,'Master Budget'!$P$4:$P$360,0)</f>
        <v>430000</v>
      </c>
    </row>
    <row r="350" spans="1:14" x14ac:dyDescent="0.25">
      <c r="A350">
        <v>354</v>
      </c>
      <c r="B350" t="s">
        <v>102</v>
      </c>
      <c r="C350" s="234">
        <v>52</v>
      </c>
      <c r="D350">
        <v>620</v>
      </c>
      <c r="E350" t="s">
        <v>23</v>
      </c>
      <c r="F350" t="str">
        <f t="shared" si="11"/>
        <v>620 - Interest Expense</v>
      </c>
      <c r="G350" t="s">
        <v>783</v>
      </c>
      <c r="H350" t="s">
        <v>23</v>
      </c>
      <c r="I350" s="155">
        <v>12009.74</v>
      </c>
      <c r="J350" s="155">
        <v>883.56</v>
      </c>
      <c r="K350" s="155">
        <f t="shared" si="12"/>
        <v>1178.08</v>
      </c>
      <c r="L350" s="155">
        <v>63620</v>
      </c>
      <c r="M350" s="233">
        <f>_xlfn.XLOOKUP(G350,'Master Budget'!$G$4:$G$360,'Master Budget'!$O$4:$O$360,0)</f>
        <v>63620</v>
      </c>
      <c r="N350" s="233">
        <f>_xlfn.XLOOKUP(G350,'Master Budget'!$G$4:$G$360,'Master Budget'!$P$4:$P$360,0)</f>
        <v>63620</v>
      </c>
    </row>
    <row r="351" spans="1:14" x14ac:dyDescent="0.25">
      <c r="A351">
        <v>355</v>
      </c>
      <c r="B351" t="s">
        <v>102</v>
      </c>
      <c r="C351" s="234">
        <v>52</v>
      </c>
      <c r="D351">
        <v>700</v>
      </c>
      <c r="E351" t="s">
        <v>12</v>
      </c>
      <c r="F351" t="str">
        <f t="shared" si="11"/>
        <v>700 - Depreciation and Amortization</v>
      </c>
      <c r="G351" t="s">
        <v>785</v>
      </c>
      <c r="H351" t="s">
        <v>43</v>
      </c>
      <c r="I351" s="155">
        <v>152948</v>
      </c>
      <c r="J351" s="155">
        <v>63728.35</v>
      </c>
      <c r="K351" s="155">
        <f t="shared" si="12"/>
        <v>84971.133333333331</v>
      </c>
      <c r="L351" s="155">
        <v>111558</v>
      </c>
      <c r="M351" s="233">
        <f>_xlfn.XLOOKUP(G351,'Master Budget'!$G$4:$G$360,'Master Budget'!$O$4:$O$360,0)</f>
        <v>111558</v>
      </c>
      <c r="N351" s="233">
        <f>_xlfn.XLOOKUP(G351,'Master Budget'!$G$4:$G$360,'Master Budget'!$P$4:$P$360,0)</f>
        <v>111558</v>
      </c>
    </row>
    <row r="352" spans="1:14" x14ac:dyDescent="0.25">
      <c r="A352">
        <v>356</v>
      </c>
      <c r="B352" t="s">
        <v>102</v>
      </c>
      <c r="C352" s="234">
        <v>52</v>
      </c>
      <c r="D352">
        <v>710</v>
      </c>
      <c r="E352" t="s">
        <v>1233</v>
      </c>
      <c r="F352" t="str">
        <f t="shared" si="11"/>
        <v>710 - capital Outlay</v>
      </c>
      <c r="G352" t="s">
        <v>786</v>
      </c>
      <c r="H352" t="s">
        <v>1238</v>
      </c>
      <c r="I352" s="155">
        <v>0</v>
      </c>
      <c r="J352" s="155">
        <v>1350357.28</v>
      </c>
      <c r="K352" s="155">
        <f t="shared" si="12"/>
        <v>1800476.3733333335</v>
      </c>
      <c r="L352" s="155">
        <v>0</v>
      </c>
      <c r="M352" s="233">
        <f>_xlfn.XLOOKUP(G352,'Master Budget'!$G$4:$G$360,'Master Budget'!$O$4:$O$360,0)</f>
        <v>0</v>
      </c>
      <c r="N352" s="233">
        <f>_xlfn.XLOOKUP(G352,'Master Budget'!$G$4:$G$360,'Master Budget'!$P$4:$P$360,0)</f>
        <v>0</v>
      </c>
    </row>
    <row r="353" spans="1:14" x14ac:dyDescent="0.25">
      <c r="A353">
        <v>357</v>
      </c>
      <c r="B353" t="s">
        <v>102</v>
      </c>
      <c r="C353" s="234">
        <v>52</v>
      </c>
      <c r="D353">
        <v>710</v>
      </c>
      <c r="E353" t="s">
        <v>1233</v>
      </c>
      <c r="F353" t="str">
        <f t="shared" si="11"/>
        <v>710 - capital Outlay</v>
      </c>
      <c r="G353" t="s">
        <v>788</v>
      </c>
      <c r="H353" t="s">
        <v>1234</v>
      </c>
      <c r="I353" s="155">
        <v>0</v>
      </c>
      <c r="J353" s="155">
        <v>0</v>
      </c>
      <c r="K353" s="155">
        <f t="shared" si="12"/>
        <v>0</v>
      </c>
      <c r="L353" s="155">
        <v>3620000</v>
      </c>
      <c r="M353" s="233">
        <f>_xlfn.XLOOKUP(G353,'Master Budget'!$G$4:$G$360,'Master Budget'!$O$4:$O$360,0)</f>
        <v>4580000</v>
      </c>
      <c r="N353" s="233">
        <f>_xlfn.XLOOKUP(G353,'Master Budget'!$G$4:$G$360,'Master Budget'!$P$4:$P$360,0)</f>
        <v>1040000</v>
      </c>
    </row>
    <row r="354" spans="1:14" x14ac:dyDescent="0.25">
      <c r="A354">
        <v>358</v>
      </c>
      <c r="B354" t="s">
        <v>102</v>
      </c>
      <c r="C354" s="234">
        <v>52</v>
      </c>
      <c r="D354">
        <v>720</v>
      </c>
      <c r="E354" t="s">
        <v>883</v>
      </c>
      <c r="F354" t="str">
        <f t="shared" si="11"/>
        <v>720 - Gain/Loss on disposal</v>
      </c>
      <c r="G354" t="s">
        <v>789</v>
      </c>
      <c r="H354" t="s">
        <v>164</v>
      </c>
      <c r="I354" s="155">
        <v>23456.92</v>
      </c>
      <c r="J354" s="155">
        <v>0</v>
      </c>
      <c r="K354" s="155">
        <f t="shared" si="12"/>
        <v>0</v>
      </c>
      <c r="L354" s="155">
        <v>0</v>
      </c>
      <c r="M354" s="233">
        <f>_xlfn.XLOOKUP(G354,'Master Budget'!$G$4:$G$360,'Master Budget'!$O$4:$O$360,0)</f>
        <v>0</v>
      </c>
      <c r="N354" s="233">
        <f>_xlfn.XLOOKUP(G354,'Master Budget'!$G$4:$G$360,'Master Budget'!$P$4:$P$360,0)</f>
        <v>0</v>
      </c>
    </row>
    <row r="355" spans="1:14" x14ac:dyDescent="0.25">
      <c r="A355">
        <v>359</v>
      </c>
      <c r="B355" t="s">
        <v>50</v>
      </c>
      <c r="C355" s="234">
        <v>53</v>
      </c>
      <c r="D355">
        <v>10000</v>
      </c>
      <c r="E355" t="s">
        <v>1029</v>
      </c>
      <c r="F355" t="str">
        <f t="shared" si="11"/>
        <v>10000 - Cash and Cash Equivalents</v>
      </c>
      <c r="G355" t="s">
        <v>790</v>
      </c>
      <c r="H355" t="s">
        <v>49</v>
      </c>
      <c r="I355" s="155">
        <v>68314.600000000006</v>
      </c>
      <c r="J355" s="155">
        <v>61488.06</v>
      </c>
      <c r="K355" s="155"/>
      <c r="L355" s="155">
        <v>0</v>
      </c>
      <c r="M355" s="233">
        <f>_xlfn.XLOOKUP(G355,'Master Budget'!$G$4:$G$360,'Master Budget'!$O$4:$O$360,0)</f>
        <v>0</v>
      </c>
      <c r="N355" s="233">
        <f>_xlfn.XLOOKUP(G355,'Master Budget'!$G$4:$G$360,'Master Budget'!$P$4:$P$360,0)</f>
        <v>0</v>
      </c>
    </row>
    <row r="356" spans="1:14" x14ac:dyDescent="0.25">
      <c r="A356">
        <v>360</v>
      </c>
      <c r="B356" t="s">
        <v>50</v>
      </c>
      <c r="C356" s="234">
        <v>53</v>
      </c>
      <c r="D356">
        <v>16200</v>
      </c>
      <c r="E356" t="s">
        <v>1074</v>
      </c>
      <c r="F356" t="str">
        <f t="shared" si="11"/>
        <v>16200 - Noncurrent restricted cash and investments</v>
      </c>
      <c r="G356" t="s">
        <v>1092</v>
      </c>
      <c r="H356" t="s">
        <v>1031</v>
      </c>
      <c r="I356" s="155">
        <v>0</v>
      </c>
      <c r="J356" s="155">
        <v>0</v>
      </c>
      <c r="K356" s="155"/>
      <c r="L356" s="155">
        <v>0</v>
      </c>
      <c r="M356" s="233">
        <f>_xlfn.XLOOKUP(G356,'Master Budget'!$G$4:$G$360,'Master Budget'!$O$4:$O$360,0)</f>
        <v>0</v>
      </c>
      <c r="N356" s="233">
        <f>_xlfn.XLOOKUP(G356,'Master Budget'!$G$4:$G$360,'Master Budget'!$P$4:$P$360,0)</f>
        <v>0</v>
      </c>
    </row>
    <row r="357" spans="1:14" x14ac:dyDescent="0.25">
      <c r="A357">
        <v>361</v>
      </c>
      <c r="B357" t="s">
        <v>50</v>
      </c>
      <c r="C357" s="234">
        <v>53</v>
      </c>
      <c r="D357">
        <v>10000</v>
      </c>
      <c r="E357" t="s">
        <v>1029</v>
      </c>
      <c r="F357" t="str">
        <f t="shared" si="11"/>
        <v>10000 - Cash and Cash Equivalents</v>
      </c>
      <c r="G357" t="s">
        <v>791</v>
      </c>
      <c r="H357" t="s">
        <v>792</v>
      </c>
      <c r="I357" s="155">
        <v>24015.39</v>
      </c>
      <c r="J357" s="155">
        <v>24724.43</v>
      </c>
      <c r="K357" s="155"/>
      <c r="L357" s="155">
        <v>0</v>
      </c>
      <c r="M357" s="233">
        <f>_xlfn.XLOOKUP(G357,'Master Budget'!$G$4:$G$360,'Master Budget'!$O$4:$O$360,0)</f>
        <v>0</v>
      </c>
      <c r="N357" s="233">
        <f>_xlfn.XLOOKUP(G357,'Master Budget'!$G$4:$G$360,'Master Budget'!$P$4:$P$360,0)</f>
        <v>0</v>
      </c>
    </row>
    <row r="358" spans="1:14" x14ac:dyDescent="0.25">
      <c r="A358">
        <v>362</v>
      </c>
      <c r="B358" t="s">
        <v>50</v>
      </c>
      <c r="C358" s="234">
        <v>53</v>
      </c>
      <c r="D358">
        <v>11500</v>
      </c>
      <c r="E358" t="s">
        <v>54</v>
      </c>
      <c r="F358" t="str">
        <f t="shared" si="11"/>
        <v>11500 - Accounts Receivable</v>
      </c>
      <c r="G358" t="s">
        <v>793</v>
      </c>
      <c r="H358" t="s">
        <v>54</v>
      </c>
      <c r="I358" s="155">
        <v>3373.78</v>
      </c>
      <c r="J358" s="155">
        <v>3505.17</v>
      </c>
      <c r="K358" s="155"/>
      <c r="L358" s="155">
        <v>0</v>
      </c>
      <c r="M358" s="233">
        <f>_xlfn.XLOOKUP(G358,'Master Budget'!$G$4:$G$360,'Master Budget'!$O$4:$O$360,0)</f>
        <v>0</v>
      </c>
      <c r="N358" s="233">
        <f>_xlfn.XLOOKUP(G358,'Master Budget'!$G$4:$G$360,'Master Budget'!$P$4:$P$360,0)</f>
        <v>0</v>
      </c>
    </row>
    <row r="359" spans="1:14" x14ac:dyDescent="0.25">
      <c r="A359">
        <v>363</v>
      </c>
      <c r="B359" t="s">
        <v>50</v>
      </c>
      <c r="C359" s="234">
        <v>53</v>
      </c>
      <c r="D359">
        <v>16320</v>
      </c>
      <c r="E359" t="s">
        <v>796</v>
      </c>
      <c r="F359" t="str">
        <f t="shared" si="11"/>
        <v>16320 - Equipment</v>
      </c>
      <c r="G359" t="s">
        <v>795</v>
      </c>
      <c r="H359" t="s">
        <v>1093</v>
      </c>
      <c r="I359" s="155">
        <v>29961</v>
      </c>
      <c r="J359" s="155">
        <v>29961</v>
      </c>
      <c r="K359" s="155"/>
      <c r="L359" s="155">
        <v>0</v>
      </c>
      <c r="M359" s="233">
        <f>_xlfn.XLOOKUP(G359,'Master Budget'!$G$4:$G$360,'Master Budget'!$O$4:$O$360,0)</f>
        <v>0</v>
      </c>
      <c r="N359" s="233">
        <f>_xlfn.XLOOKUP(G359,'Master Budget'!$G$4:$G$360,'Master Budget'!$P$4:$P$360,0)</f>
        <v>0</v>
      </c>
    </row>
    <row r="360" spans="1:14" x14ac:dyDescent="0.25">
      <c r="A360">
        <v>364</v>
      </c>
      <c r="B360" t="s">
        <v>50</v>
      </c>
      <c r="C360" s="234">
        <v>53</v>
      </c>
      <c r="D360">
        <v>16900</v>
      </c>
      <c r="E360" t="s">
        <v>198</v>
      </c>
      <c r="F360" t="str">
        <f t="shared" si="11"/>
        <v>16900 - Accumulated Depreciation</v>
      </c>
      <c r="G360" t="s">
        <v>797</v>
      </c>
      <c r="H360" t="s">
        <v>198</v>
      </c>
      <c r="I360" s="155">
        <v>-29961</v>
      </c>
      <c r="J360" s="155">
        <v>-29961</v>
      </c>
      <c r="K360" s="155"/>
      <c r="L360" s="155">
        <v>0</v>
      </c>
      <c r="M360" s="233">
        <f>_xlfn.XLOOKUP(G360,'Master Budget'!$G$4:$G$360,'Master Budget'!$O$4:$O$360,0)</f>
        <v>0</v>
      </c>
      <c r="N360" s="233">
        <f>_xlfn.XLOOKUP(G360,'Master Budget'!$G$4:$G$360,'Master Budget'!$P$4:$P$360,0)</f>
        <v>0</v>
      </c>
    </row>
    <row r="361" spans="1:14" x14ac:dyDescent="0.25">
      <c r="A361">
        <v>365</v>
      </c>
      <c r="B361" t="s">
        <v>71</v>
      </c>
      <c r="C361" s="234">
        <v>53</v>
      </c>
      <c r="D361">
        <v>21100</v>
      </c>
      <c r="E361" t="s">
        <v>70</v>
      </c>
      <c r="F361" t="str">
        <f t="shared" si="11"/>
        <v>21100 - Accounts Payable</v>
      </c>
      <c r="G361" t="s">
        <v>798</v>
      </c>
      <c r="H361" t="s">
        <v>70</v>
      </c>
      <c r="I361" s="155">
        <v>-419.58</v>
      </c>
      <c r="J361" s="155">
        <v>282.77999999999997</v>
      </c>
      <c r="K361" s="155"/>
      <c r="L361" s="155">
        <v>0</v>
      </c>
      <c r="M361" s="233">
        <f>_xlfn.XLOOKUP(G361,'Master Budget'!$G$4:$G$360,'Master Budget'!$O$4:$O$360,0)</f>
        <v>0</v>
      </c>
      <c r="N361" s="233">
        <f>_xlfn.XLOOKUP(G361,'Master Budget'!$G$4:$G$360,'Master Budget'!$P$4:$P$360,0)</f>
        <v>0</v>
      </c>
    </row>
    <row r="362" spans="1:14" x14ac:dyDescent="0.25">
      <c r="A362">
        <v>366</v>
      </c>
      <c r="B362" t="s">
        <v>71</v>
      </c>
      <c r="C362" s="234">
        <v>53</v>
      </c>
      <c r="D362">
        <v>22200</v>
      </c>
      <c r="E362" t="s">
        <v>1040</v>
      </c>
      <c r="F362" t="str">
        <f t="shared" si="11"/>
        <v>22200 - Accrued Expenses</v>
      </c>
      <c r="G362" t="s">
        <v>857</v>
      </c>
      <c r="H362" t="s">
        <v>73</v>
      </c>
      <c r="I362" s="155">
        <v>-422.04</v>
      </c>
      <c r="J362" s="155">
        <v>-793.58</v>
      </c>
      <c r="K362" s="155"/>
      <c r="L362" s="155"/>
      <c r="M362" s="233">
        <f>_xlfn.XLOOKUP(G362,'Master Budget'!$G$4:$G$360,'Master Budget'!$O$4:$O$360,0)</f>
        <v>0</v>
      </c>
      <c r="N362" s="233">
        <f>_xlfn.XLOOKUP(G362,'Master Budget'!$G$4:$G$360,'Master Budget'!$P$4:$P$360,0)</f>
        <v>0</v>
      </c>
    </row>
    <row r="363" spans="1:14" x14ac:dyDescent="0.25">
      <c r="A363">
        <v>367</v>
      </c>
      <c r="B363" t="s">
        <v>71</v>
      </c>
      <c r="C363" s="234">
        <v>53</v>
      </c>
      <c r="D363">
        <v>22200</v>
      </c>
      <c r="E363" t="s">
        <v>1040</v>
      </c>
      <c r="F363" t="str">
        <f t="shared" si="11"/>
        <v>22200 - Accrued Expenses</v>
      </c>
      <c r="G363" t="s">
        <v>858</v>
      </c>
      <c r="H363" t="s">
        <v>208</v>
      </c>
      <c r="I363" s="155">
        <v>0</v>
      </c>
      <c r="J363" s="155">
        <v>-143.36000000000001</v>
      </c>
      <c r="K363" s="155"/>
      <c r="L363" s="155"/>
      <c r="M363" s="233">
        <f>_xlfn.XLOOKUP(G363,'Master Budget'!$G$4:$G$360,'Master Budget'!$O$4:$O$360,0)</f>
        <v>0</v>
      </c>
      <c r="N363" s="233">
        <f>_xlfn.XLOOKUP(G363,'Master Budget'!$G$4:$G$360,'Master Budget'!$P$4:$P$360,0)</f>
        <v>0</v>
      </c>
    </row>
    <row r="364" spans="1:14" x14ac:dyDescent="0.25">
      <c r="A364">
        <v>368</v>
      </c>
      <c r="B364" t="s">
        <v>71</v>
      </c>
      <c r="C364" s="234">
        <v>53</v>
      </c>
      <c r="D364">
        <v>22200</v>
      </c>
      <c r="E364" t="s">
        <v>1040</v>
      </c>
      <c r="F364" t="str">
        <f t="shared" si="11"/>
        <v>22200 - Accrued Expenses</v>
      </c>
      <c r="G364" t="s">
        <v>859</v>
      </c>
      <c r="H364" t="s">
        <v>210</v>
      </c>
      <c r="I364" s="155">
        <v>0</v>
      </c>
      <c r="J364" s="155">
        <v>-125.23</v>
      </c>
      <c r="K364" s="155"/>
      <c r="L364" s="155"/>
      <c r="M364" s="233">
        <f>_xlfn.XLOOKUP(G364,'Master Budget'!$G$4:$G$360,'Master Budget'!$O$4:$O$360,0)</f>
        <v>0</v>
      </c>
      <c r="N364" s="233">
        <f>_xlfn.XLOOKUP(G364,'Master Budget'!$G$4:$G$360,'Master Budget'!$P$4:$P$360,0)</f>
        <v>0</v>
      </c>
    </row>
    <row r="365" spans="1:14" x14ac:dyDescent="0.25">
      <c r="A365">
        <v>369</v>
      </c>
      <c r="B365" t="s">
        <v>71</v>
      </c>
      <c r="C365" s="234">
        <v>53</v>
      </c>
      <c r="D365">
        <v>22200</v>
      </c>
      <c r="E365" t="s">
        <v>1040</v>
      </c>
      <c r="F365" t="str">
        <f t="shared" si="11"/>
        <v>22200 - Accrued Expenses</v>
      </c>
      <c r="G365" t="s">
        <v>860</v>
      </c>
      <c r="H365" t="s">
        <v>215</v>
      </c>
      <c r="I365" s="155">
        <v>0</v>
      </c>
      <c r="J365" s="155">
        <v>-7.44</v>
      </c>
      <c r="K365" s="155"/>
      <c r="L365" s="155"/>
      <c r="M365" s="233">
        <f>_xlfn.XLOOKUP(G365,'Master Budget'!$G$4:$G$360,'Master Budget'!$O$4:$O$360,0)</f>
        <v>0</v>
      </c>
      <c r="N365" s="233">
        <f>_xlfn.XLOOKUP(G365,'Master Budget'!$G$4:$G$360,'Master Budget'!$P$4:$P$360,0)</f>
        <v>0</v>
      </c>
    </row>
    <row r="366" spans="1:14" x14ac:dyDescent="0.25">
      <c r="A366">
        <v>370</v>
      </c>
      <c r="B366" t="s">
        <v>71</v>
      </c>
      <c r="C366" s="234">
        <v>53</v>
      </c>
      <c r="D366">
        <v>22200</v>
      </c>
      <c r="E366" t="s">
        <v>1040</v>
      </c>
      <c r="F366" t="str">
        <f t="shared" si="11"/>
        <v>22200 - Accrued Expenses</v>
      </c>
      <c r="G366" t="s">
        <v>861</v>
      </c>
      <c r="H366" t="s">
        <v>219</v>
      </c>
      <c r="I366" s="155">
        <v>0</v>
      </c>
      <c r="J366" s="155">
        <v>-1.9</v>
      </c>
      <c r="K366" s="155"/>
      <c r="L366" s="155"/>
      <c r="M366" s="233">
        <f>_xlfn.XLOOKUP(G366,'Master Budget'!$G$4:$G$360,'Master Budget'!$O$4:$O$360,0)</f>
        <v>0</v>
      </c>
      <c r="N366" s="233">
        <f>_xlfn.XLOOKUP(G366,'Master Budget'!$G$4:$G$360,'Master Budget'!$P$4:$P$360,0)</f>
        <v>0</v>
      </c>
    </row>
    <row r="367" spans="1:14" x14ac:dyDescent="0.25">
      <c r="A367">
        <v>371</v>
      </c>
      <c r="B367" t="s">
        <v>1049</v>
      </c>
      <c r="C367" s="234">
        <v>53</v>
      </c>
      <c r="D367">
        <v>29100</v>
      </c>
      <c r="E367" t="s">
        <v>1050</v>
      </c>
      <c r="F367" t="str">
        <f t="shared" si="11"/>
        <v>29100 - Unrestricted</v>
      </c>
      <c r="G367" t="s">
        <v>799</v>
      </c>
      <c r="H367" t="s">
        <v>246</v>
      </c>
      <c r="I367" s="155">
        <v>-89197.8</v>
      </c>
      <c r="J367" s="155">
        <v>-94862.15</v>
      </c>
      <c r="K367" s="155"/>
      <c r="L367" s="155">
        <v>0</v>
      </c>
      <c r="M367" s="233">
        <f>_xlfn.XLOOKUP(G367,'Master Budget'!$G$4:$G$360,'Master Budget'!$O$4:$O$360,0)</f>
        <v>0</v>
      </c>
      <c r="N367" s="233">
        <f>_xlfn.XLOOKUP(G367,'Master Budget'!$G$4:$G$360,'Master Budget'!$P$4:$P$360,0)</f>
        <v>0</v>
      </c>
    </row>
    <row r="368" spans="1:14" x14ac:dyDescent="0.25">
      <c r="A368">
        <v>372</v>
      </c>
      <c r="B368" t="s">
        <v>97</v>
      </c>
      <c r="C368" s="234">
        <v>53</v>
      </c>
      <c r="D368">
        <v>30</v>
      </c>
      <c r="E368" t="s">
        <v>6</v>
      </c>
      <c r="F368" t="str">
        <f t="shared" si="11"/>
        <v>30 - Charges for services</v>
      </c>
      <c r="G368" t="s">
        <v>800</v>
      </c>
      <c r="H368" t="s">
        <v>801</v>
      </c>
      <c r="I368" s="155">
        <v>-28501.63</v>
      </c>
      <c r="J368" s="155">
        <v>-22954.41</v>
      </c>
      <c r="K368" s="155">
        <f t="shared" si="12"/>
        <v>-30605.879999999997</v>
      </c>
      <c r="L368" s="155">
        <v>-28500</v>
      </c>
      <c r="M368" s="233">
        <f>_xlfn.XLOOKUP(G368,'Master Budget'!$G$4:$G$360,'Master Budget'!$O$4:$O$360,0)</f>
        <v>-28500</v>
      </c>
      <c r="N368" s="233">
        <f>_xlfn.XLOOKUP(G368,'Master Budget'!$G$4:$G$360,'Master Budget'!$P$4:$P$360,0)</f>
        <v>-28500</v>
      </c>
    </row>
    <row r="369" spans="1:14" x14ac:dyDescent="0.25">
      <c r="A369">
        <v>373</v>
      </c>
      <c r="B369" t="s">
        <v>97</v>
      </c>
      <c r="C369" s="234">
        <v>53</v>
      </c>
      <c r="D369">
        <v>960</v>
      </c>
      <c r="E369" t="s">
        <v>19</v>
      </c>
      <c r="F369" t="str">
        <f t="shared" si="11"/>
        <v>960 - Interest income</v>
      </c>
      <c r="G369" t="s">
        <v>802</v>
      </c>
      <c r="H369" t="s">
        <v>467</v>
      </c>
      <c r="I369" s="155">
        <v>-1030.3699999999999</v>
      </c>
      <c r="J369" s="155">
        <v>-805.03</v>
      </c>
      <c r="K369" s="155">
        <f t="shared" si="12"/>
        <v>-1073.3733333333332</v>
      </c>
      <c r="L369" s="155">
        <v>0</v>
      </c>
      <c r="M369" s="233">
        <f>_xlfn.XLOOKUP(G369,'Master Budget'!$G$4:$G$360,'Master Budget'!$O$4:$O$360,0)</f>
        <v>0</v>
      </c>
      <c r="N369" s="233">
        <f>_xlfn.XLOOKUP(G369,'Master Budget'!$G$4:$G$360,'Master Budget'!$P$4:$P$360,0)</f>
        <v>0</v>
      </c>
    </row>
    <row r="370" spans="1:14" x14ac:dyDescent="0.25">
      <c r="A370">
        <v>374</v>
      </c>
      <c r="B370" t="s">
        <v>102</v>
      </c>
      <c r="C370" s="234">
        <v>53</v>
      </c>
      <c r="D370">
        <v>100</v>
      </c>
      <c r="E370" t="s">
        <v>9</v>
      </c>
      <c r="F370" t="str">
        <f t="shared" si="11"/>
        <v>100 - Salaries and Benefits</v>
      </c>
      <c r="G370" t="s">
        <v>862</v>
      </c>
      <c r="H370" t="s">
        <v>734</v>
      </c>
      <c r="I370" s="155">
        <v>422.04</v>
      </c>
      <c r="J370" s="155">
        <v>8824.7999999999993</v>
      </c>
      <c r="K370" s="155">
        <f t="shared" si="12"/>
        <v>11766.4</v>
      </c>
      <c r="L370" s="155">
        <v>8668.3726500000012</v>
      </c>
      <c r="M370" s="233">
        <f>_xlfn.XLOOKUP(G370,'Master Budget'!$G$4:$G$360,'Master Budget'!$O$4:$O$360,0)</f>
        <v>8659.8013600000013</v>
      </c>
      <c r="N370" s="233">
        <f>_xlfn.XLOOKUP(G370,'Master Budget'!$G$4:$G$360,'Master Budget'!$P$4:$P$360,0)</f>
        <v>9126.9151999999995</v>
      </c>
    </row>
    <row r="371" spans="1:14" x14ac:dyDescent="0.25">
      <c r="A371">
        <v>375</v>
      </c>
      <c r="B371" t="s">
        <v>102</v>
      </c>
      <c r="C371" s="234">
        <v>53</v>
      </c>
      <c r="D371">
        <v>100</v>
      </c>
      <c r="E371" t="s">
        <v>9</v>
      </c>
      <c r="F371" t="str">
        <f t="shared" si="11"/>
        <v>100 - Salaries and Benefits</v>
      </c>
      <c r="G371" t="s">
        <v>863</v>
      </c>
      <c r="H371" t="s">
        <v>104</v>
      </c>
      <c r="I371" s="155">
        <v>0</v>
      </c>
      <c r="J371" s="155">
        <v>729.66</v>
      </c>
      <c r="K371" s="155">
        <f t="shared" si="12"/>
        <v>972.87999999999988</v>
      </c>
      <c r="L371" s="155">
        <v>663.13050772500003</v>
      </c>
      <c r="M371" s="233">
        <f>_xlfn.XLOOKUP(G371,'Master Budget'!$G$4:$G$360,'Master Budget'!$O$4:$O$360,0)</f>
        <v>662.47480404000009</v>
      </c>
      <c r="N371" s="233">
        <f>_xlfn.XLOOKUP(G371,'Master Budget'!$G$4:$G$360,'Master Budget'!$P$4:$P$360,0)</f>
        <v>698.20901279999987</v>
      </c>
    </row>
    <row r="372" spans="1:14" x14ac:dyDescent="0.25">
      <c r="A372">
        <v>376</v>
      </c>
      <c r="B372" t="s">
        <v>102</v>
      </c>
      <c r="C372" s="234">
        <v>53</v>
      </c>
      <c r="D372">
        <v>100</v>
      </c>
      <c r="E372" t="s">
        <v>9</v>
      </c>
      <c r="F372" t="str">
        <f t="shared" si="11"/>
        <v>100 - Salaries and Benefits</v>
      </c>
      <c r="G372" t="s">
        <v>864</v>
      </c>
      <c r="H372" t="s">
        <v>106</v>
      </c>
      <c r="I372" s="155">
        <v>0</v>
      </c>
      <c r="J372" s="155">
        <v>1873.98</v>
      </c>
      <c r="K372" s="155">
        <f t="shared" si="12"/>
        <v>2498.64</v>
      </c>
      <c r="L372" s="155">
        <v>1134</v>
      </c>
      <c r="M372" s="233">
        <f>_xlfn.XLOOKUP(G372,'Master Budget'!$G$4:$G$360,'Master Budget'!$O$4:$O$360,0)</f>
        <v>1134</v>
      </c>
      <c r="N372" s="233">
        <f>_xlfn.XLOOKUP(G372,'Master Budget'!$G$4:$G$360,'Master Budget'!$P$4:$P$360,0)</f>
        <v>1197.5017599999999</v>
      </c>
    </row>
    <row r="373" spans="1:14" x14ac:dyDescent="0.25">
      <c r="A373">
        <v>377</v>
      </c>
      <c r="B373" t="s">
        <v>102</v>
      </c>
      <c r="C373" s="234">
        <v>53</v>
      </c>
      <c r="D373">
        <v>100</v>
      </c>
      <c r="E373" t="s">
        <v>9</v>
      </c>
      <c r="F373" t="str">
        <f t="shared" si="11"/>
        <v>100 - Salaries and Benefits</v>
      </c>
      <c r="G373" t="s">
        <v>865</v>
      </c>
      <c r="H373" t="s">
        <v>108</v>
      </c>
      <c r="I373" s="155">
        <v>0</v>
      </c>
      <c r="J373" s="155">
        <v>2675.51</v>
      </c>
      <c r="K373" s="155">
        <f t="shared" si="12"/>
        <v>3567.3466666666668</v>
      </c>
      <c r="L373" s="155">
        <v>1046.8824</v>
      </c>
      <c r="M373" s="233">
        <f>_xlfn.XLOOKUP(G373,'Master Budget'!$G$4:$G$360,'Master Budget'!$O$4:$O$360,0)</f>
        <v>1046.8824</v>
      </c>
      <c r="N373" s="233">
        <f>_xlfn.XLOOKUP(G373,'Master Budget'!$G$4:$G$360,'Master Budget'!$P$4:$P$360,0)</f>
        <v>1130.8846035199999</v>
      </c>
    </row>
    <row r="374" spans="1:14" x14ac:dyDescent="0.25">
      <c r="A374">
        <v>378</v>
      </c>
      <c r="B374" t="s">
        <v>102</v>
      </c>
      <c r="C374" s="234">
        <v>53</v>
      </c>
      <c r="D374">
        <v>100</v>
      </c>
      <c r="E374" t="s">
        <v>9</v>
      </c>
      <c r="F374" t="str">
        <f t="shared" si="11"/>
        <v>100 - Salaries and Benefits</v>
      </c>
      <c r="G374" t="s">
        <v>866</v>
      </c>
      <c r="H374" t="s">
        <v>110</v>
      </c>
      <c r="I374" s="155">
        <v>0</v>
      </c>
      <c r="J374" s="155">
        <v>0</v>
      </c>
      <c r="K374" s="155">
        <f t="shared" si="12"/>
        <v>0</v>
      </c>
      <c r="L374" s="155">
        <v>158.61578880000002</v>
      </c>
      <c r="M374" s="233">
        <f>_xlfn.XLOOKUP(G374,'Master Budget'!$G$4:$G$360,'Master Budget'!$O$4:$O$360,0)</f>
        <v>158.19072</v>
      </c>
      <c r="N374" s="233">
        <f>_xlfn.XLOOKUP(G374,'Master Budget'!$G$4:$G$360,'Master Budget'!$P$4:$P$360,0)</f>
        <v>166.78022399999998</v>
      </c>
    </row>
    <row r="375" spans="1:14" x14ac:dyDescent="0.25">
      <c r="A375">
        <v>379</v>
      </c>
      <c r="B375" t="s">
        <v>102</v>
      </c>
      <c r="C375" s="234">
        <v>53</v>
      </c>
      <c r="D375">
        <v>100</v>
      </c>
      <c r="E375" t="s">
        <v>9</v>
      </c>
      <c r="F375" t="str">
        <f t="shared" si="11"/>
        <v>100 - Salaries and Benefits</v>
      </c>
      <c r="G375" t="s">
        <v>867</v>
      </c>
      <c r="H375" t="s">
        <v>112</v>
      </c>
      <c r="I375" s="155">
        <v>0</v>
      </c>
      <c r="J375" s="155">
        <v>746.07</v>
      </c>
      <c r="K375" s="155">
        <f t="shared" si="12"/>
        <v>994.7600000000001</v>
      </c>
      <c r="L375" s="155"/>
      <c r="M375" s="233">
        <f>_xlfn.XLOOKUP(G375,'Master Budget'!$G$4:$G$360,'Master Budget'!$O$4:$O$360,0)</f>
        <v>0</v>
      </c>
      <c r="N375" s="233">
        <f>_xlfn.XLOOKUP(G375,'Master Budget'!$G$4:$G$360,'Master Budget'!$P$4:$P$360,0)</f>
        <v>0</v>
      </c>
    </row>
    <row r="376" spans="1:14" x14ac:dyDescent="0.25">
      <c r="A376">
        <v>380</v>
      </c>
      <c r="B376" t="s">
        <v>102</v>
      </c>
      <c r="C376" s="234">
        <v>53</v>
      </c>
      <c r="D376">
        <v>100</v>
      </c>
      <c r="E376" t="s">
        <v>9</v>
      </c>
      <c r="F376" t="str">
        <f t="shared" si="11"/>
        <v>100 - Salaries and Benefits</v>
      </c>
      <c r="G376" t="s">
        <v>868</v>
      </c>
      <c r="H376" t="s">
        <v>114</v>
      </c>
      <c r="I376" s="155">
        <v>0</v>
      </c>
      <c r="J376" s="155">
        <v>0.53</v>
      </c>
      <c r="K376" s="155">
        <f t="shared" si="12"/>
        <v>0.70666666666666678</v>
      </c>
      <c r="L376" s="155">
        <v>19.200000000000003</v>
      </c>
      <c r="M376" s="233">
        <f>_xlfn.XLOOKUP(G376,'Master Budget'!$G$4:$G$360,'Master Budget'!$O$4:$O$360,0)</f>
        <v>19.200000000000003</v>
      </c>
      <c r="N376" s="233">
        <f>_xlfn.XLOOKUP(G376,'Master Budget'!$G$4:$G$360,'Master Budget'!$P$4:$P$360,0)</f>
        <v>19.200000000000003</v>
      </c>
    </row>
    <row r="377" spans="1:14" x14ac:dyDescent="0.25">
      <c r="A377">
        <v>381</v>
      </c>
      <c r="B377" t="s">
        <v>102</v>
      </c>
      <c r="C377" s="234">
        <v>53</v>
      </c>
      <c r="D377">
        <v>200</v>
      </c>
      <c r="E377" t="s">
        <v>10</v>
      </c>
      <c r="F377" t="str">
        <f t="shared" si="11"/>
        <v>200 - General and Administrative</v>
      </c>
      <c r="G377" t="s">
        <v>804</v>
      </c>
      <c r="H377" t="s">
        <v>291</v>
      </c>
      <c r="I377" s="155">
        <v>0</v>
      </c>
      <c r="J377" s="155">
        <v>2.6</v>
      </c>
      <c r="K377" s="155">
        <f t="shared" si="12"/>
        <v>3.4666666666666668</v>
      </c>
      <c r="L377" s="155">
        <v>0</v>
      </c>
      <c r="M377" s="233">
        <f>_xlfn.XLOOKUP(G377,'Master Budget'!$G$4:$G$360,'Master Budget'!$O$4:$O$360,0)</f>
        <v>0</v>
      </c>
      <c r="N377" s="233">
        <f>_xlfn.XLOOKUP(G377,'Master Budget'!$G$4:$G$360,'Master Budget'!$P$4:$P$360,0)</f>
        <v>0</v>
      </c>
    </row>
    <row r="378" spans="1:14" x14ac:dyDescent="0.25">
      <c r="A378">
        <v>382</v>
      </c>
      <c r="B378" t="s">
        <v>102</v>
      </c>
      <c r="C378" s="234">
        <v>53</v>
      </c>
      <c r="D378">
        <v>200</v>
      </c>
      <c r="E378" t="s">
        <v>10</v>
      </c>
      <c r="F378" t="str">
        <f t="shared" si="11"/>
        <v>200 - General and Administrative</v>
      </c>
      <c r="G378" t="s">
        <v>805</v>
      </c>
      <c r="H378" t="s">
        <v>295</v>
      </c>
      <c r="I378" s="155">
        <v>63</v>
      </c>
      <c r="J378" s="155">
        <v>0</v>
      </c>
      <c r="K378" s="155">
        <f t="shared" si="12"/>
        <v>0</v>
      </c>
      <c r="L378" s="155">
        <v>0</v>
      </c>
      <c r="M378" s="233">
        <f>_xlfn.XLOOKUP(G378,'Master Budget'!$G$4:$G$360,'Master Budget'!$O$4:$O$360,0)</f>
        <v>0</v>
      </c>
      <c r="N378" s="233">
        <f>_xlfn.XLOOKUP(G378,'Master Budget'!$G$4:$G$360,'Master Budget'!$P$4:$P$360,0)</f>
        <v>0</v>
      </c>
    </row>
    <row r="379" spans="1:14" x14ac:dyDescent="0.25">
      <c r="A379">
        <v>383</v>
      </c>
      <c r="B379" t="s">
        <v>102</v>
      </c>
      <c r="C379" s="234">
        <v>53</v>
      </c>
      <c r="D379">
        <v>500</v>
      </c>
      <c r="E379" t="s">
        <v>11</v>
      </c>
      <c r="F379" t="str">
        <f t="shared" si="11"/>
        <v>500 - Repairs and Maintenance</v>
      </c>
      <c r="G379" t="s">
        <v>806</v>
      </c>
      <c r="H379" t="s">
        <v>432</v>
      </c>
      <c r="I379" s="155">
        <v>5751.05</v>
      </c>
      <c r="J379" s="155">
        <v>0</v>
      </c>
      <c r="K379" s="155">
        <f t="shared" si="12"/>
        <v>0</v>
      </c>
      <c r="L379" s="155">
        <v>4000</v>
      </c>
      <c r="M379" s="233">
        <f>_xlfn.XLOOKUP(G379,'Master Budget'!$G$4:$G$360,'Master Budget'!$O$4:$O$360,0)</f>
        <v>4000</v>
      </c>
      <c r="N379" s="233">
        <f>_xlfn.XLOOKUP(G379,'Master Budget'!$G$4:$G$360,'Master Budget'!$P$4:$P$360,0)</f>
        <v>4000</v>
      </c>
    </row>
    <row r="380" spans="1:14" x14ac:dyDescent="0.25">
      <c r="A380">
        <v>384</v>
      </c>
      <c r="B380" t="s">
        <v>102</v>
      </c>
      <c r="C380" s="234">
        <v>53</v>
      </c>
      <c r="D380">
        <v>200</v>
      </c>
      <c r="E380" t="s">
        <v>10</v>
      </c>
      <c r="F380" t="str">
        <f t="shared" si="11"/>
        <v>200 - General and Administrative</v>
      </c>
      <c r="G380" t="s">
        <v>807</v>
      </c>
      <c r="H380" t="s">
        <v>1094</v>
      </c>
      <c r="I380" s="155">
        <v>17631.560000000001</v>
      </c>
      <c r="J380" s="155">
        <v>14839.51</v>
      </c>
      <c r="K380" s="155">
        <f t="shared" si="12"/>
        <v>19786.013333333332</v>
      </c>
      <c r="L380" s="155">
        <v>18240</v>
      </c>
      <c r="M380" s="233">
        <f>_xlfn.XLOOKUP(G380,'Master Budget'!$G$4:$G$360,'Master Budget'!$O$4:$O$360,0)</f>
        <v>18240</v>
      </c>
      <c r="N380" s="233">
        <f>_xlfn.XLOOKUP(G380,'Master Budget'!$G$4:$G$360,'Master Budget'!$P$4:$P$360,0)</f>
        <v>18240</v>
      </c>
    </row>
    <row r="381" spans="1:14" x14ac:dyDescent="0.25">
      <c r="A381">
        <v>385</v>
      </c>
      <c r="B381" t="s">
        <v>102</v>
      </c>
      <c r="C381" s="234">
        <v>53</v>
      </c>
      <c r="D381">
        <v>600</v>
      </c>
      <c r="E381" t="s">
        <v>13</v>
      </c>
      <c r="F381" t="str">
        <f t="shared" si="11"/>
        <v>600 - Bad Debt</v>
      </c>
      <c r="G381" t="s">
        <v>809</v>
      </c>
      <c r="H381" t="s">
        <v>315</v>
      </c>
      <c r="I381" s="155">
        <v>0</v>
      </c>
      <c r="J381" s="155">
        <v>0</v>
      </c>
      <c r="K381" s="155">
        <f t="shared" si="12"/>
        <v>0</v>
      </c>
      <c r="L381" s="155">
        <v>0</v>
      </c>
      <c r="M381" s="233">
        <f>_xlfn.XLOOKUP(G381,'Master Budget'!$G$4:$G$360,'Master Budget'!$O$4:$O$360,0)</f>
        <v>0</v>
      </c>
      <c r="N381" s="233">
        <f>_xlfn.XLOOKUP(G381,'Master Budget'!$G$4:$G$360,'Master Budget'!$P$4:$P$360,0)</f>
        <v>0</v>
      </c>
    </row>
    <row r="382" spans="1:14" x14ac:dyDescent="0.25">
      <c r="A382">
        <v>386</v>
      </c>
      <c r="B382" t="s">
        <v>102</v>
      </c>
      <c r="C382" s="234">
        <v>53</v>
      </c>
      <c r="D382">
        <v>700</v>
      </c>
      <c r="E382" t="s">
        <v>12</v>
      </c>
      <c r="F382" t="str">
        <f t="shared" ref="F382:F388" si="13">D382&amp;" - "&amp;E382</f>
        <v>700 - Depreciation and Amortization</v>
      </c>
      <c r="G382" t="s">
        <v>810</v>
      </c>
      <c r="H382" t="s">
        <v>43</v>
      </c>
      <c r="I382" s="155">
        <v>0</v>
      </c>
      <c r="J382" s="155">
        <v>0</v>
      </c>
      <c r="K382" s="155">
        <f t="shared" si="12"/>
        <v>0</v>
      </c>
      <c r="L382" s="155">
        <v>2122</v>
      </c>
      <c r="M382" s="233">
        <f>_xlfn.XLOOKUP(G382,'Master Budget'!$G$4:$G$360,'Master Budget'!$O$4:$O$360,0)</f>
        <v>2122</v>
      </c>
      <c r="N382" s="233">
        <f>_xlfn.XLOOKUP(G382,'Master Budget'!$G$4:$G$360,'Master Budget'!$P$4:$P$360,0)</f>
        <v>2122</v>
      </c>
    </row>
    <row r="383" spans="1:14" x14ac:dyDescent="0.25">
      <c r="A383">
        <v>387</v>
      </c>
      <c r="B383" t="s">
        <v>102</v>
      </c>
      <c r="C383" s="234">
        <v>53</v>
      </c>
      <c r="D383">
        <v>710</v>
      </c>
      <c r="E383" t="s">
        <v>1233</v>
      </c>
      <c r="F383" t="str">
        <f t="shared" si="13"/>
        <v>710 - capital Outlay</v>
      </c>
      <c r="G383" t="s">
        <v>811</v>
      </c>
      <c r="H383" t="s">
        <v>1234</v>
      </c>
      <c r="I383" s="155">
        <v>0</v>
      </c>
      <c r="J383" s="155">
        <v>0</v>
      </c>
      <c r="K383" s="155">
        <f t="shared" si="12"/>
        <v>0</v>
      </c>
      <c r="L383" s="155">
        <v>0</v>
      </c>
      <c r="M383" s="233">
        <f>_xlfn.XLOOKUP(G383,'Master Budget'!$G$4:$G$360,'Master Budget'!$O$4:$O$360,0)</f>
        <v>0</v>
      </c>
      <c r="N383" s="233">
        <f>_xlfn.XLOOKUP(G383,'Master Budget'!$G$4:$G$360,'Master Budget'!$P$4:$P$360,0)</f>
        <v>0</v>
      </c>
    </row>
    <row r="384" spans="1:14" x14ac:dyDescent="0.25">
      <c r="A384">
        <v>388</v>
      </c>
      <c r="B384" t="s">
        <v>50</v>
      </c>
      <c r="C384" s="234">
        <v>99</v>
      </c>
      <c r="D384">
        <v>10000</v>
      </c>
      <c r="E384" t="s">
        <v>1029</v>
      </c>
      <c r="F384" t="str">
        <f t="shared" si="13"/>
        <v>10000 - Cash and Cash Equivalents</v>
      </c>
      <c r="G384" t="s">
        <v>813</v>
      </c>
      <c r="H384" t="s">
        <v>814</v>
      </c>
      <c r="I384" s="155">
        <v>-1754102.49</v>
      </c>
      <c r="J384" s="155">
        <v>-2281995.2999999998</v>
      </c>
      <c r="K384" s="155"/>
      <c r="L384" s="155">
        <v>0</v>
      </c>
      <c r="M384" s="233">
        <f>_xlfn.XLOOKUP(G384,'Master Budget'!$G$4:$G$360,'Master Budget'!$O$4:$O$360,0)</f>
        <v>0</v>
      </c>
      <c r="N384" s="233">
        <f>_xlfn.XLOOKUP(G384,'Master Budget'!$G$4:$G$360,'Master Budget'!$P$4:$P$360,0)</f>
        <v>0</v>
      </c>
    </row>
    <row r="385" spans="1:14" x14ac:dyDescent="0.25">
      <c r="A385">
        <v>389</v>
      </c>
      <c r="B385" t="s">
        <v>50</v>
      </c>
      <c r="C385" s="234">
        <v>99</v>
      </c>
      <c r="D385">
        <v>10000</v>
      </c>
      <c r="E385" t="s">
        <v>1029</v>
      </c>
      <c r="F385" t="str">
        <f t="shared" si="13"/>
        <v>10000 - Cash and Cash Equivalents</v>
      </c>
      <c r="G385" t="s">
        <v>815</v>
      </c>
      <c r="H385" t="s">
        <v>816</v>
      </c>
      <c r="I385" s="155">
        <v>1746469.38</v>
      </c>
      <c r="J385" s="155">
        <v>2273314.92</v>
      </c>
      <c r="K385" s="155"/>
      <c r="L385" s="155">
        <v>0</v>
      </c>
      <c r="M385" s="233">
        <f>_xlfn.XLOOKUP(G385,'Master Budget'!$G$4:$G$360,'Master Budget'!$O$4:$O$360,0)</f>
        <v>0</v>
      </c>
      <c r="N385" s="233">
        <f>_xlfn.XLOOKUP(G385,'Master Budget'!$G$4:$G$360,'Master Budget'!$P$4:$P$360,0)</f>
        <v>0</v>
      </c>
    </row>
    <row r="386" spans="1:14" x14ac:dyDescent="0.25">
      <c r="A386">
        <v>390</v>
      </c>
      <c r="B386" t="s">
        <v>50</v>
      </c>
      <c r="C386" s="234">
        <v>99</v>
      </c>
      <c r="D386">
        <v>10000</v>
      </c>
      <c r="E386" t="s">
        <v>1029</v>
      </c>
      <c r="F386" t="str">
        <f t="shared" si="13"/>
        <v>10000 - Cash and Cash Equivalents</v>
      </c>
      <c r="G386" t="s">
        <v>817</v>
      </c>
      <c r="H386" t="s">
        <v>818</v>
      </c>
      <c r="I386" s="155">
        <v>7633.11</v>
      </c>
      <c r="J386" s="155">
        <v>8680.3799999999992</v>
      </c>
      <c r="K386" s="155"/>
      <c r="L386" s="155">
        <v>0</v>
      </c>
      <c r="M386" s="233">
        <f>_xlfn.XLOOKUP(G386,'Master Budget'!$G$4:$G$360,'Master Budget'!$O$4:$O$360,0)</f>
        <v>0</v>
      </c>
      <c r="N386" s="233">
        <f>_xlfn.XLOOKUP(G386,'Master Budget'!$G$4:$G$360,'Master Budget'!$P$4:$P$360,0)</f>
        <v>0</v>
      </c>
    </row>
    <row r="387" spans="1:14" x14ac:dyDescent="0.25">
      <c r="A387">
        <v>391</v>
      </c>
      <c r="B387" t="s">
        <v>50</v>
      </c>
      <c r="C387" s="234">
        <v>99</v>
      </c>
      <c r="D387">
        <v>10000</v>
      </c>
      <c r="E387" t="s">
        <v>1029</v>
      </c>
      <c r="F387" t="str">
        <f t="shared" si="13"/>
        <v>10000 - Cash and Cash Equivalents</v>
      </c>
      <c r="G387" t="s">
        <v>819</v>
      </c>
      <c r="H387" t="s">
        <v>820</v>
      </c>
      <c r="I387" s="155">
        <v>0</v>
      </c>
      <c r="J387" s="155">
        <v>0</v>
      </c>
      <c r="K387" s="155">
        <f t="shared" si="12"/>
        <v>0</v>
      </c>
      <c r="L387" s="155">
        <v>0</v>
      </c>
      <c r="M387" s="233">
        <f>_xlfn.XLOOKUP(G387,'Master Budget'!$G$4:$G$360,'Master Budget'!$O$4:$O$360,0)</f>
        <v>0</v>
      </c>
      <c r="N387" s="233">
        <f>_xlfn.XLOOKUP(G387,'Master Budget'!$G$4:$G$360,'Master Budget'!$P$4:$P$360,0)</f>
        <v>0</v>
      </c>
    </row>
    <row r="388" spans="1:14" x14ac:dyDescent="0.25">
      <c r="A388">
        <v>392</v>
      </c>
      <c r="B388" t="s">
        <v>71</v>
      </c>
      <c r="C388" s="234">
        <v>99</v>
      </c>
      <c r="D388">
        <v>21100</v>
      </c>
      <c r="E388" t="s">
        <v>70</v>
      </c>
      <c r="F388" t="str">
        <f t="shared" si="13"/>
        <v>21100 - Accounts Payable</v>
      </c>
      <c r="G388" t="s">
        <v>823</v>
      </c>
      <c r="H388" t="s">
        <v>70</v>
      </c>
      <c r="I388" s="155">
        <v>0</v>
      </c>
      <c r="J388" s="155">
        <v>0</v>
      </c>
      <c r="K388" s="155">
        <f t="shared" si="12"/>
        <v>0</v>
      </c>
      <c r="L388" s="155">
        <v>0</v>
      </c>
      <c r="M388" s="233">
        <f>_xlfn.XLOOKUP(G388,'Master Budget'!$G$4:$G$360,'Master Budget'!$O$4:$O$360,0)</f>
        <v>0</v>
      </c>
      <c r="N388" s="233">
        <f>_xlfn.XLOOKUP(G388,'Master Budget'!$G$4:$G$360,'Master Budget'!$P$4:$P$360,0)</f>
        <v>0</v>
      </c>
    </row>
  </sheetData>
  <autoFilter ref="A2:N388" xr:uid="{1CD22271-3DB5-4C62-AEC9-73E0A2F95C8E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F07DA-D4BD-4169-81F3-C73D492DA538}">
  <sheetPr>
    <tabColor theme="9" tint="0.59999389629810485"/>
  </sheetPr>
  <dimension ref="A1:N42"/>
  <sheetViews>
    <sheetView zoomScaleNormal="100" workbookViewId="0">
      <selection activeCell="D1" sqref="D1"/>
    </sheetView>
  </sheetViews>
  <sheetFormatPr defaultRowHeight="15" x14ac:dyDescent="0.25"/>
  <cols>
    <col min="1" max="1" width="21" bestFit="1" customWidth="1"/>
    <col min="2" max="2" width="28.7109375" bestFit="1" customWidth="1"/>
    <col min="3" max="8" width="14" bestFit="1" customWidth="1"/>
    <col min="9" max="9" width="28.28515625" customWidth="1"/>
    <col min="10" max="14" width="17.28515625" customWidth="1"/>
  </cols>
  <sheetData>
    <row r="1" spans="1:14" x14ac:dyDescent="0.25">
      <c r="A1" s="150" t="s">
        <v>47</v>
      </c>
      <c r="B1" t="s">
        <v>869</v>
      </c>
      <c r="C1" s="238" t="s">
        <v>942</v>
      </c>
    </row>
    <row r="2" spans="1:14" x14ac:dyDescent="0.25">
      <c r="I2" s="150" t="s">
        <v>47</v>
      </c>
      <c r="J2" t="s">
        <v>869</v>
      </c>
    </row>
    <row r="3" spans="1:14" x14ac:dyDescent="0.25">
      <c r="A3" s="150" t="s">
        <v>1195</v>
      </c>
      <c r="B3" s="150" t="s">
        <v>1240</v>
      </c>
    </row>
    <row r="4" spans="1:14" ht="30" x14ac:dyDescent="0.25">
      <c r="A4" s="150" t="s">
        <v>1241</v>
      </c>
      <c r="B4">
        <v>20</v>
      </c>
      <c r="C4">
        <v>22</v>
      </c>
      <c r="D4">
        <v>51</v>
      </c>
      <c r="E4">
        <v>52</v>
      </c>
      <c r="F4">
        <v>53</v>
      </c>
      <c r="G4" t="s">
        <v>877</v>
      </c>
      <c r="I4" s="150" t="s">
        <v>1241</v>
      </c>
      <c r="J4" s="152" t="s">
        <v>1242</v>
      </c>
      <c r="K4" s="152" t="s">
        <v>1258</v>
      </c>
      <c r="L4" s="152" t="s">
        <v>1259</v>
      </c>
      <c r="M4" s="152" t="s">
        <v>1195</v>
      </c>
      <c r="N4" s="152" t="s">
        <v>1196</v>
      </c>
    </row>
    <row r="5" spans="1:14" s="152" customFormat="1" x14ac:dyDescent="0.25">
      <c r="A5" s="235" t="s">
        <v>1245</v>
      </c>
      <c r="B5" s="151">
        <v>-1126000</v>
      </c>
      <c r="C5" s="151">
        <v>-2200000</v>
      </c>
      <c r="D5" s="151">
        <v>-752720</v>
      </c>
      <c r="E5" s="151">
        <v>-685480</v>
      </c>
      <c r="F5" s="151">
        <v>-28500</v>
      </c>
      <c r="G5" s="151">
        <v>-4792700</v>
      </c>
      <c r="H5"/>
      <c r="I5" s="235" t="s">
        <v>1245</v>
      </c>
      <c r="J5" s="151">
        <v>-4347358.3899999997</v>
      </c>
      <c r="K5" s="151">
        <v>-5326314.09</v>
      </c>
      <c r="L5" s="151">
        <v>-3484700</v>
      </c>
      <c r="M5" s="151">
        <v>-4792700</v>
      </c>
      <c r="N5" s="151">
        <v>-4341802.32</v>
      </c>
    </row>
    <row r="6" spans="1:14" x14ac:dyDescent="0.25">
      <c r="A6" s="235" t="s">
        <v>1246</v>
      </c>
      <c r="B6" s="151">
        <v>-1300</v>
      </c>
      <c r="C6" s="151"/>
      <c r="D6" s="151"/>
      <c r="E6" s="151"/>
      <c r="F6" s="151"/>
      <c r="G6" s="151">
        <v>-1300</v>
      </c>
      <c r="I6" s="235" t="s">
        <v>1246</v>
      </c>
      <c r="J6" s="151">
        <v>-775</v>
      </c>
      <c r="K6" s="151">
        <v>0</v>
      </c>
      <c r="L6" s="151">
        <v>-1300</v>
      </c>
      <c r="M6" s="151">
        <v>-1300</v>
      </c>
      <c r="N6" s="151">
        <v>-1300</v>
      </c>
    </row>
    <row r="7" spans="1:14" x14ac:dyDescent="0.25">
      <c r="A7" s="235" t="s">
        <v>1248</v>
      </c>
      <c r="B7" s="151">
        <v>-15000</v>
      </c>
      <c r="C7" s="151"/>
      <c r="D7" s="151"/>
      <c r="E7" s="151"/>
      <c r="F7" s="151"/>
      <c r="G7" s="151">
        <v>-15000</v>
      </c>
      <c r="I7" s="235" t="s">
        <v>1248</v>
      </c>
      <c r="J7" s="151">
        <v>-19533.349999999999</v>
      </c>
      <c r="K7" s="151">
        <v>-16686.293333333331</v>
      </c>
      <c r="L7" s="151">
        <v>-15000</v>
      </c>
      <c r="M7" s="151">
        <v>-15000</v>
      </c>
      <c r="N7" s="151">
        <v>-15000</v>
      </c>
    </row>
    <row r="8" spans="1:14" x14ac:dyDescent="0.25">
      <c r="A8" s="235" t="s">
        <v>1251</v>
      </c>
      <c r="B8" s="151">
        <v>-100000</v>
      </c>
      <c r="C8" s="151">
        <v>-10000</v>
      </c>
      <c r="D8" s="151">
        <v>0</v>
      </c>
      <c r="E8" s="151">
        <v>-2619841.59</v>
      </c>
      <c r="F8" s="151"/>
      <c r="G8" s="151">
        <v>-2729841.59</v>
      </c>
      <c r="I8" s="235" t="s">
        <v>1251</v>
      </c>
      <c r="J8" s="151">
        <v>-10009290.640000001</v>
      </c>
      <c r="K8" s="151">
        <v>-51809.73333333333</v>
      </c>
      <c r="L8" s="151">
        <v>-3850000</v>
      </c>
      <c r="M8" s="151">
        <v>-2729841.59</v>
      </c>
      <c r="N8" s="151">
        <v>-1515250</v>
      </c>
    </row>
    <row r="9" spans="1:14" x14ac:dyDescent="0.25">
      <c r="A9" s="235" t="s">
        <v>1243</v>
      </c>
      <c r="B9" s="151">
        <v>1341654.29</v>
      </c>
      <c r="C9" s="151">
        <v>1017018</v>
      </c>
      <c r="D9" s="151">
        <v>376046.5171385</v>
      </c>
      <c r="E9" s="151">
        <v>376008.11713850003</v>
      </c>
      <c r="F9" s="151">
        <v>11680.54928404</v>
      </c>
      <c r="G9" s="151">
        <v>3122407.4735610397</v>
      </c>
      <c r="I9" s="235" t="s">
        <v>1243</v>
      </c>
      <c r="J9" s="151">
        <v>2451154.4299999997</v>
      </c>
      <c r="K9" s="151">
        <v>3017469.7866666666</v>
      </c>
      <c r="L9" s="151">
        <v>2863446.4716986902</v>
      </c>
      <c r="M9" s="151">
        <v>3122407.4735610401</v>
      </c>
      <c r="N9" s="151">
        <v>3119493.7569780191</v>
      </c>
    </row>
    <row r="10" spans="1:14" x14ac:dyDescent="0.25">
      <c r="A10" s="235" t="s">
        <v>1244</v>
      </c>
      <c r="B10" s="151">
        <v>319871.51</v>
      </c>
      <c r="C10" s="151">
        <v>212000</v>
      </c>
      <c r="D10" s="151">
        <v>315300</v>
      </c>
      <c r="E10" s="151">
        <v>322600</v>
      </c>
      <c r="F10" s="151">
        <v>18240</v>
      </c>
      <c r="G10" s="151">
        <v>1188011.51</v>
      </c>
      <c r="I10" s="235" t="s">
        <v>1244</v>
      </c>
      <c r="J10" s="151">
        <v>960310.88999999978</v>
      </c>
      <c r="K10" s="151">
        <v>869623.18666666676</v>
      </c>
      <c r="L10" s="151">
        <v>1044960.91</v>
      </c>
      <c r="M10" s="151">
        <v>1188011.51</v>
      </c>
      <c r="N10" s="151">
        <v>1170860.49</v>
      </c>
    </row>
    <row r="11" spans="1:14" x14ac:dyDescent="0.25">
      <c r="A11" s="235" t="s">
        <v>1247</v>
      </c>
      <c r="B11" s="151">
        <v>51070</v>
      </c>
      <c r="C11" s="151">
        <v>57000</v>
      </c>
      <c r="D11" s="151">
        <v>120350</v>
      </c>
      <c r="E11" s="151">
        <v>53350</v>
      </c>
      <c r="F11" s="151">
        <v>4000</v>
      </c>
      <c r="G11" s="151">
        <v>285770</v>
      </c>
      <c r="I11" s="235" t="s">
        <v>1247</v>
      </c>
      <c r="J11" s="151">
        <v>248739.91</v>
      </c>
      <c r="K11" s="151">
        <v>231840.99999999994</v>
      </c>
      <c r="L11" s="151">
        <v>254200</v>
      </c>
      <c r="M11" s="151">
        <v>285770</v>
      </c>
      <c r="N11" s="151">
        <v>264350</v>
      </c>
    </row>
    <row r="12" spans="1:14" x14ac:dyDescent="0.25">
      <c r="A12" s="235" t="s">
        <v>1249</v>
      </c>
      <c r="B12" s="151">
        <v>0</v>
      </c>
      <c r="C12" s="151"/>
      <c r="D12" s="151">
        <v>0</v>
      </c>
      <c r="E12" s="151">
        <v>0</v>
      </c>
      <c r="F12" s="151">
        <v>0</v>
      </c>
      <c r="G12" s="151">
        <v>0</v>
      </c>
      <c r="I12" s="235" t="s">
        <v>1249</v>
      </c>
      <c r="J12" s="151">
        <v>0</v>
      </c>
      <c r="K12" s="151">
        <v>0</v>
      </c>
      <c r="L12" s="151">
        <v>0</v>
      </c>
      <c r="M12" s="151">
        <v>0</v>
      </c>
      <c r="N12" s="151">
        <v>0</v>
      </c>
    </row>
    <row r="13" spans="1:14" x14ac:dyDescent="0.25">
      <c r="A13" s="235" t="s">
        <v>1250</v>
      </c>
      <c r="B13" s="151">
        <v>3918.4900000000002</v>
      </c>
      <c r="C13" s="151"/>
      <c r="D13" s="151">
        <v>22158.400000000001</v>
      </c>
      <c r="E13" s="151">
        <v>63620</v>
      </c>
      <c r="F13" s="151"/>
      <c r="G13" s="151">
        <v>89696.89</v>
      </c>
      <c r="I13" s="235" t="s">
        <v>1250</v>
      </c>
      <c r="J13" s="151">
        <v>41358.94</v>
      </c>
      <c r="K13" s="151">
        <v>1178.08</v>
      </c>
      <c r="L13" s="151">
        <v>164178</v>
      </c>
      <c r="M13" s="151">
        <v>89696.890000000014</v>
      </c>
      <c r="N13" s="151">
        <v>85896.6</v>
      </c>
    </row>
    <row r="14" spans="1:14" x14ac:dyDescent="0.25">
      <c r="A14" s="235" t="s">
        <v>1252</v>
      </c>
      <c r="B14" s="151">
        <v>110000</v>
      </c>
      <c r="C14" s="151">
        <v>0</v>
      </c>
      <c r="D14" s="151">
        <v>87202</v>
      </c>
      <c r="E14" s="151">
        <v>111558</v>
      </c>
      <c r="F14" s="151">
        <v>2122</v>
      </c>
      <c r="G14" s="151">
        <v>310882</v>
      </c>
      <c r="I14" s="235" t="s">
        <v>1252</v>
      </c>
      <c r="J14" s="151">
        <v>450618.23000000004</v>
      </c>
      <c r="K14" s="151">
        <v>250343.46666666667</v>
      </c>
      <c r="L14" s="151">
        <v>310882</v>
      </c>
      <c r="M14" s="151">
        <v>310882</v>
      </c>
      <c r="N14" s="151">
        <v>310882</v>
      </c>
    </row>
    <row r="15" spans="1:14" x14ac:dyDescent="0.25">
      <c r="A15" s="235" t="s">
        <v>1253</v>
      </c>
      <c r="B15" s="151">
        <v>0</v>
      </c>
      <c r="C15" s="151">
        <v>515000</v>
      </c>
      <c r="D15" s="151">
        <v>930000</v>
      </c>
      <c r="E15" s="151">
        <v>4580000</v>
      </c>
      <c r="F15" s="151">
        <v>0</v>
      </c>
      <c r="G15" s="151">
        <v>6025000</v>
      </c>
      <c r="I15" s="235" t="s">
        <v>1253</v>
      </c>
      <c r="J15" s="151">
        <v>0</v>
      </c>
      <c r="K15" s="151">
        <v>3094031.3066666676</v>
      </c>
      <c r="L15" s="151">
        <v>5255000</v>
      </c>
      <c r="M15" s="151">
        <v>6025000</v>
      </c>
      <c r="N15" s="151">
        <v>3249000</v>
      </c>
    </row>
    <row r="16" spans="1:14" x14ac:dyDescent="0.25">
      <c r="A16" s="235" t="s">
        <v>1254</v>
      </c>
      <c r="B16" s="151">
        <v>0</v>
      </c>
      <c r="C16" s="151">
        <v>0</v>
      </c>
      <c r="D16" s="151">
        <v>0</v>
      </c>
      <c r="E16" s="151">
        <v>0</v>
      </c>
      <c r="F16" s="151"/>
      <c r="G16" s="151">
        <v>0</v>
      </c>
      <c r="I16" s="235" t="s">
        <v>1254</v>
      </c>
      <c r="J16" s="151">
        <v>39296.42</v>
      </c>
      <c r="K16" s="151">
        <v>0</v>
      </c>
      <c r="L16" s="151">
        <v>0</v>
      </c>
      <c r="M16" s="151">
        <v>0</v>
      </c>
      <c r="N16" s="151">
        <v>0</v>
      </c>
    </row>
    <row r="17" spans="1:14" x14ac:dyDescent="0.25">
      <c r="A17" s="235" t="s">
        <v>1255</v>
      </c>
      <c r="B17" s="151">
        <v>-85000</v>
      </c>
      <c r="C17" s="151"/>
      <c r="D17" s="151">
        <v>-80000</v>
      </c>
      <c r="E17" s="151"/>
      <c r="F17" s="151"/>
      <c r="G17" s="151">
        <v>-165000</v>
      </c>
      <c r="I17" s="235" t="s">
        <v>1255</v>
      </c>
      <c r="J17" s="151">
        <v>-205354.36</v>
      </c>
      <c r="K17" s="151">
        <v>-18405.586666666662</v>
      </c>
      <c r="L17" s="151">
        <v>-165000</v>
      </c>
      <c r="M17" s="151">
        <v>-165000</v>
      </c>
      <c r="N17" s="151">
        <v>-165000</v>
      </c>
    </row>
    <row r="18" spans="1:14" x14ac:dyDescent="0.25">
      <c r="A18" s="235" t="s">
        <v>1256</v>
      </c>
      <c r="B18" s="151">
        <v>-39000</v>
      </c>
      <c r="C18" s="151">
        <v>-14000</v>
      </c>
      <c r="D18" s="151">
        <v>-100000</v>
      </c>
      <c r="E18" s="151">
        <v>-50000</v>
      </c>
      <c r="F18" s="151">
        <v>0</v>
      </c>
      <c r="G18" s="151">
        <v>-203000</v>
      </c>
      <c r="I18" s="235" t="s">
        <v>1256</v>
      </c>
      <c r="J18" s="151">
        <v>-436434.65999999992</v>
      </c>
      <c r="K18" s="151">
        <v>-195165.97333333333</v>
      </c>
      <c r="L18" s="151">
        <v>-189000</v>
      </c>
      <c r="M18" s="151">
        <v>-203000</v>
      </c>
      <c r="N18" s="151">
        <v>-202000</v>
      </c>
    </row>
    <row r="19" spans="1:14" x14ac:dyDescent="0.25">
      <c r="A19" s="235" t="s">
        <v>1257</v>
      </c>
      <c r="B19" s="151">
        <v>20552</v>
      </c>
      <c r="C19" s="151"/>
      <c r="D19" s="151">
        <v>138000</v>
      </c>
      <c r="E19" s="151">
        <v>430000</v>
      </c>
      <c r="F19" s="151"/>
      <c r="G19" s="151">
        <v>588552</v>
      </c>
      <c r="I19" s="235" t="s">
        <v>1257</v>
      </c>
      <c r="J19" s="151">
        <v>0</v>
      </c>
      <c r="K19" s="151">
        <v>0</v>
      </c>
      <c r="L19" s="151">
        <v>308325</v>
      </c>
      <c r="M19" s="151">
        <v>588552</v>
      </c>
      <c r="N19" s="151">
        <v>592531.4</v>
      </c>
    </row>
    <row r="20" spans="1:14" x14ac:dyDescent="0.25">
      <c r="A20" s="235" t="s">
        <v>877</v>
      </c>
      <c r="B20" s="151">
        <v>480766.29000000004</v>
      </c>
      <c r="C20" s="151">
        <v>-422982</v>
      </c>
      <c r="D20" s="151">
        <v>1056336.9171384999</v>
      </c>
      <c r="E20" s="151">
        <v>2581814.5271385</v>
      </c>
      <c r="F20" s="151">
        <v>7542.5492840400002</v>
      </c>
      <c r="G20" s="151">
        <v>3703478.2835610393</v>
      </c>
      <c r="I20" s="235" t="s">
        <v>877</v>
      </c>
      <c r="J20" s="151">
        <v>-10827267.579999998</v>
      </c>
      <c r="K20" s="151">
        <v>1856105.1500000013</v>
      </c>
      <c r="L20" s="151">
        <v>2495992.3816986904</v>
      </c>
      <c r="M20" s="151">
        <v>3703478.2835610402</v>
      </c>
      <c r="N20" s="151">
        <v>2552661.9269780186</v>
      </c>
    </row>
    <row r="21" spans="1:14" x14ac:dyDescent="0.25">
      <c r="M21" s="239">
        <f>GETPIVOTDATA("Sum of 2026 Amended",$I$4)-GETPIVOTDATA("2026 Amended",$A$3)</f>
        <v>0</v>
      </c>
      <c r="N21" s="239">
        <f>GETPIVOTDATA("Sum of 2027 Proposed",$I$4)-GETPIVOTDATA("2027 Proposed",$A$25)</f>
        <v>0</v>
      </c>
    </row>
    <row r="23" spans="1:14" x14ac:dyDescent="0.25">
      <c r="A23" s="150" t="s">
        <v>47</v>
      </c>
      <c r="B23" t="s">
        <v>869</v>
      </c>
      <c r="C23" s="238" t="s">
        <v>943</v>
      </c>
    </row>
    <row r="25" spans="1:14" x14ac:dyDescent="0.25">
      <c r="A25" s="150" t="s">
        <v>1196</v>
      </c>
      <c r="B25" s="150" t="s">
        <v>1240</v>
      </c>
    </row>
    <row r="26" spans="1:14" x14ac:dyDescent="0.25">
      <c r="A26" s="150" t="s">
        <v>1241</v>
      </c>
      <c r="B26">
        <v>20</v>
      </c>
      <c r="C26">
        <v>22</v>
      </c>
      <c r="D26">
        <v>51</v>
      </c>
      <c r="E26">
        <v>52</v>
      </c>
      <c r="F26">
        <v>53</v>
      </c>
      <c r="G26" t="s">
        <v>877</v>
      </c>
    </row>
    <row r="27" spans="1:14" x14ac:dyDescent="0.25">
      <c r="A27" s="235" t="s">
        <v>1245</v>
      </c>
      <c r="B27" s="151">
        <v>-1189078.3199999998</v>
      </c>
      <c r="C27" s="151">
        <v>-1686024</v>
      </c>
      <c r="D27" s="151">
        <v>-752720</v>
      </c>
      <c r="E27" s="151">
        <v>-685480</v>
      </c>
      <c r="F27" s="151">
        <v>-28500</v>
      </c>
      <c r="G27" s="151">
        <v>-4341802.32</v>
      </c>
    </row>
    <row r="28" spans="1:14" x14ac:dyDescent="0.25">
      <c r="A28" s="235" t="s">
        <v>1246</v>
      </c>
      <c r="B28" s="151">
        <v>-1300</v>
      </c>
      <c r="C28" s="151"/>
      <c r="D28" s="151"/>
      <c r="E28" s="151"/>
      <c r="F28" s="151"/>
      <c r="G28" s="151">
        <v>-1300</v>
      </c>
    </row>
    <row r="29" spans="1:14" x14ac:dyDescent="0.25">
      <c r="A29" s="235" t="s">
        <v>1248</v>
      </c>
      <c r="B29" s="151">
        <v>-15000</v>
      </c>
      <c r="C29" s="151"/>
      <c r="D29" s="151"/>
      <c r="E29" s="151"/>
      <c r="F29" s="151"/>
      <c r="G29" s="151">
        <v>-15000</v>
      </c>
    </row>
    <row r="30" spans="1:14" x14ac:dyDescent="0.25">
      <c r="A30" s="235" t="s">
        <v>1251</v>
      </c>
      <c r="B30" s="151">
        <v>-55250</v>
      </c>
      <c r="C30" s="151">
        <v>-60000</v>
      </c>
      <c r="D30" s="151">
        <v>-1400000</v>
      </c>
      <c r="E30" s="151">
        <v>0</v>
      </c>
      <c r="F30" s="151"/>
      <c r="G30" s="151">
        <v>-1515250</v>
      </c>
    </row>
    <row r="31" spans="1:14" x14ac:dyDescent="0.25">
      <c r="A31" s="235" t="s">
        <v>1243</v>
      </c>
      <c r="B31" s="151">
        <v>1115849.4761389999</v>
      </c>
      <c r="C31" s="151">
        <v>1239165.581</v>
      </c>
      <c r="D31" s="151">
        <v>376088.80451934994</v>
      </c>
      <c r="E31" s="151">
        <v>376050.40451934992</v>
      </c>
      <c r="F31" s="151">
        <v>12339.49080032</v>
      </c>
      <c r="G31" s="151">
        <v>3119493.7569780196</v>
      </c>
    </row>
    <row r="32" spans="1:14" x14ac:dyDescent="0.25">
      <c r="A32" s="235" t="s">
        <v>1244</v>
      </c>
      <c r="B32" s="151">
        <v>287720.49</v>
      </c>
      <c r="C32" s="151">
        <v>214000</v>
      </c>
      <c r="D32" s="151">
        <v>328300</v>
      </c>
      <c r="E32" s="151">
        <v>322600</v>
      </c>
      <c r="F32" s="151">
        <v>18240</v>
      </c>
      <c r="G32" s="151">
        <v>1170860.49</v>
      </c>
    </row>
    <row r="33" spans="1:7" x14ac:dyDescent="0.25">
      <c r="A33" s="235" t="s">
        <v>1247</v>
      </c>
      <c r="B33" s="151">
        <v>49000</v>
      </c>
      <c r="C33" s="151">
        <v>52000</v>
      </c>
      <c r="D33" s="151">
        <v>116000</v>
      </c>
      <c r="E33" s="151">
        <v>43350</v>
      </c>
      <c r="F33" s="151">
        <v>4000</v>
      </c>
      <c r="G33" s="151">
        <v>264350</v>
      </c>
    </row>
    <row r="34" spans="1:7" x14ac:dyDescent="0.25">
      <c r="A34" s="235" t="s">
        <v>1249</v>
      </c>
      <c r="B34" s="151">
        <v>0</v>
      </c>
      <c r="C34" s="151"/>
      <c r="D34" s="151">
        <v>0</v>
      </c>
      <c r="E34" s="151">
        <v>0</v>
      </c>
      <c r="F34" s="151">
        <v>0</v>
      </c>
      <c r="G34" s="151">
        <v>0</v>
      </c>
    </row>
    <row r="35" spans="1:7" x14ac:dyDescent="0.25">
      <c r="A35" s="235" t="s">
        <v>1250</v>
      </c>
      <c r="B35" s="151">
        <v>2939.1</v>
      </c>
      <c r="C35" s="151"/>
      <c r="D35" s="151">
        <v>19337.5</v>
      </c>
      <c r="E35" s="151">
        <v>63620</v>
      </c>
      <c r="F35" s="151"/>
      <c r="G35" s="151">
        <v>85896.6</v>
      </c>
    </row>
    <row r="36" spans="1:7" x14ac:dyDescent="0.25">
      <c r="A36" s="235" t="s">
        <v>1252</v>
      </c>
      <c r="B36" s="151">
        <v>110000</v>
      </c>
      <c r="C36" s="151">
        <v>0</v>
      </c>
      <c r="D36" s="151">
        <v>87202</v>
      </c>
      <c r="E36" s="151">
        <v>111558</v>
      </c>
      <c r="F36" s="151">
        <v>2122</v>
      </c>
      <c r="G36" s="151">
        <v>310882</v>
      </c>
    </row>
    <row r="37" spans="1:7" x14ac:dyDescent="0.25">
      <c r="A37" s="235" t="s">
        <v>1253</v>
      </c>
      <c r="B37" s="151">
        <v>619000</v>
      </c>
      <c r="C37" s="151">
        <v>0</v>
      </c>
      <c r="D37" s="151">
        <v>1590000</v>
      </c>
      <c r="E37" s="151">
        <v>1040000</v>
      </c>
      <c r="F37" s="151">
        <v>0</v>
      </c>
      <c r="G37" s="151">
        <v>3249000</v>
      </c>
    </row>
    <row r="38" spans="1:7" x14ac:dyDescent="0.25">
      <c r="A38" s="235" t="s">
        <v>1254</v>
      </c>
      <c r="B38" s="151">
        <v>0</v>
      </c>
      <c r="C38" s="151">
        <v>0</v>
      </c>
      <c r="D38" s="151">
        <v>0</v>
      </c>
      <c r="E38" s="151">
        <v>0</v>
      </c>
      <c r="F38" s="151"/>
      <c r="G38" s="151">
        <v>0</v>
      </c>
    </row>
    <row r="39" spans="1:7" x14ac:dyDescent="0.25">
      <c r="A39" s="235" t="s">
        <v>1255</v>
      </c>
      <c r="B39" s="151">
        <v>-85000</v>
      </c>
      <c r="C39" s="151"/>
      <c r="D39" s="151">
        <v>-80000</v>
      </c>
      <c r="E39" s="151"/>
      <c r="F39" s="151"/>
      <c r="G39" s="151">
        <v>-165000</v>
      </c>
    </row>
    <row r="40" spans="1:7" x14ac:dyDescent="0.25">
      <c r="A40" s="235" t="s">
        <v>1256</v>
      </c>
      <c r="B40" s="151">
        <v>-40000</v>
      </c>
      <c r="C40" s="151">
        <v>-12000</v>
      </c>
      <c r="D40" s="151">
        <v>-100000</v>
      </c>
      <c r="E40" s="151">
        <v>-50000</v>
      </c>
      <c r="F40" s="151">
        <v>0</v>
      </c>
      <c r="G40" s="151">
        <v>-202000</v>
      </c>
    </row>
    <row r="41" spans="1:7" x14ac:dyDescent="0.25">
      <c r="A41" s="235" t="s">
        <v>1257</v>
      </c>
      <c r="B41" s="151">
        <v>21531.4</v>
      </c>
      <c r="C41" s="151"/>
      <c r="D41" s="151">
        <v>141000</v>
      </c>
      <c r="E41" s="151">
        <v>430000</v>
      </c>
      <c r="F41" s="151"/>
      <c r="G41" s="151">
        <v>592531.4</v>
      </c>
    </row>
    <row r="42" spans="1:7" x14ac:dyDescent="0.25">
      <c r="A42" s="235" t="s">
        <v>877</v>
      </c>
      <c r="B42" s="151">
        <v>820412.14613900008</v>
      </c>
      <c r="C42" s="151">
        <v>-252858.41899999999</v>
      </c>
      <c r="D42" s="151">
        <v>325208.30451934994</v>
      </c>
      <c r="E42" s="151">
        <v>1651698.4045193498</v>
      </c>
      <c r="F42" s="151">
        <v>8201.4908003199998</v>
      </c>
      <c r="G42" s="151">
        <v>2552661.9269780195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C03F-CB33-4136-833D-047790E36DB2}">
  <sheetPr>
    <tabColor theme="9" tint="0.59999389629810485"/>
    <pageSetUpPr fitToPage="1"/>
  </sheetPr>
  <dimension ref="A2:S360"/>
  <sheetViews>
    <sheetView topLeftCell="A2" zoomScale="115" zoomScaleNormal="115" workbookViewId="0">
      <pane ySplit="2" topLeftCell="A81" activePane="bottomLeft" state="frozen"/>
      <selection activeCell="M2" sqref="M2"/>
      <selection pane="bottomLeft" activeCell="F3" sqref="F3"/>
    </sheetView>
  </sheetViews>
  <sheetFormatPr defaultColWidth="9.140625" defaultRowHeight="13.5" x14ac:dyDescent="0.25"/>
  <cols>
    <col min="1" max="1" width="4.42578125" style="107" customWidth="1"/>
    <col min="2" max="2" width="6.42578125" style="105" customWidth="1"/>
    <col min="3" max="3" width="5.85546875" style="105" customWidth="1"/>
    <col min="4" max="4" width="10.42578125" style="105" customWidth="1"/>
    <col min="5" max="5" width="23" style="106" customWidth="1"/>
    <col min="6" max="6" width="25.85546875" style="107" customWidth="1"/>
    <col min="7" max="7" width="12.42578125" style="105" customWidth="1"/>
    <col min="8" max="8" width="24.85546875" style="107" customWidth="1"/>
    <col min="9" max="16" width="13.140625" style="107" customWidth="1"/>
    <col min="17" max="17" width="10.7109375" style="107" bestFit="1" customWidth="1"/>
    <col min="18" max="18" width="14.140625" style="107" bestFit="1" customWidth="1"/>
    <col min="19" max="16384" width="9.140625" style="107"/>
  </cols>
  <sheetData>
    <row r="2" spans="1:19" ht="15" x14ac:dyDescent="0.25">
      <c r="A2" s="1" t="s">
        <v>1023</v>
      </c>
      <c r="I2" s="108">
        <f>SUM(I4:I360)</f>
        <v>712533.26006553485</v>
      </c>
      <c r="J2" s="108">
        <f>SUM(J4:J360)</f>
        <v>1022490.04</v>
      </c>
      <c r="K2" s="108">
        <f>SUM(K4:K360)</f>
        <v>449021.1257142846</v>
      </c>
      <c r="L2" s="108">
        <f>SUM(L4:L360)</f>
        <v>18133160.235821247</v>
      </c>
      <c r="M2" s="108">
        <f>SUM(M4:M360)</f>
        <v>-1069270.6641787495</v>
      </c>
      <c r="N2" s="108">
        <f>SUM(N4:N360)</f>
        <v>3320992.3816986894</v>
      </c>
      <c r="O2" s="108">
        <f>SUM(O4:O360)</f>
        <v>3703478.2835610402</v>
      </c>
      <c r="P2" s="108">
        <f>SUM(P4:P360)</f>
        <v>2552661.92697802</v>
      </c>
      <c r="Q2" s="173"/>
      <c r="R2" s="108">
        <f>Q2/2</f>
        <v>0</v>
      </c>
    </row>
    <row r="3" spans="1:19" s="111" customFormat="1" ht="27" x14ac:dyDescent="0.25">
      <c r="A3" s="109" t="s">
        <v>1024</v>
      </c>
      <c r="B3" s="109" t="s">
        <v>47</v>
      </c>
      <c r="C3" s="109" t="s">
        <v>46</v>
      </c>
      <c r="D3" s="109" t="s">
        <v>870</v>
      </c>
      <c r="E3" s="110" t="s">
        <v>871</v>
      </c>
      <c r="F3" s="109" t="s">
        <v>1025</v>
      </c>
      <c r="G3" s="109" t="s">
        <v>878</v>
      </c>
      <c r="H3" s="109" t="s">
        <v>879</v>
      </c>
      <c r="I3" s="109" t="s">
        <v>1026</v>
      </c>
      <c r="J3" s="109" t="s">
        <v>0</v>
      </c>
      <c r="K3" s="109" t="s">
        <v>1027</v>
      </c>
      <c r="L3" s="109" t="s">
        <v>939</v>
      </c>
      <c r="M3" s="111" t="s">
        <v>940</v>
      </c>
      <c r="N3" s="111" t="s">
        <v>950</v>
      </c>
      <c r="O3" s="111" t="s">
        <v>942</v>
      </c>
      <c r="P3" s="111" t="s">
        <v>943</v>
      </c>
      <c r="R3" s="111" t="s">
        <v>1028</v>
      </c>
    </row>
    <row r="4" spans="1:19" x14ac:dyDescent="0.25">
      <c r="A4" s="107">
        <v>1</v>
      </c>
      <c r="B4" s="105" t="s">
        <v>50</v>
      </c>
      <c r="C4" s="105" t="str">
        <f>LEFT(G4,2)</f>
        <v>20</v>
      </c>
      <c r="D4" s="105">
        <v>10000</v>
      </c>
      <c r="E4" s="106" t="s">
        <v>1029</v>
      </c>
      <c r="F4" s="107" t="str">
        <f t="shared" ref="F4:F35" si="0">D4&amp;" "&amp;E4</f>
        <v>10000 Cash and Cash Equivalents</v>
      </c>
      <c r="G4" s="105" t="s">
        <v>165</v>
      </c>
      <c r="H4" s="107" t="s">
        <v>49</v>
      </c>
      <c r="I4" s="112">
        <v>0</v>
      </c>
      <c r="J4" s="113">
        <f>SUMIFS('Budget Worksheet'!$J$5:$J$234,'Budget Worksheet'!$B$5:$B$234,'Master Budget'!G4)</f>
        <v>0</v>
      </c>
      <c r="K4" s="113"/>
      <c r="L4" s="113">
        <f>SUMIFS('Budget Worksheet'!$L$5:$L$234,'Budget Worksheet'!$B$5:$B$234,'Master Budget'!G4)</f>
        <v>0</v>
      </c>
      <c r="M4" s="113">
        <f>_xlfn.XLOOKUP(G4,'Budget Worksheet'!$B$5:$B$234,'Budget Worksheet'!$N$5:$N$234,0)</f>
        <v>0</v>
      </c>
      <c r="N4" s="113">
        <f>_xlfn.XLOOKUP(G4,'Budget Worksheet'!$B$5:$B$234,'Budget Worksheet'!$U$5:$U$234,0)</f>
        <v>0</v>
      </c>
      <c r="O4" s="113">
        <f>_xlfn.XLOOKUP(G4,'Budget Worksheet'!$B$5:$B$234,'Budget Worksheet'!$S$5:$S$234,0)</f>
        <v>0</v>
      </c>
      <c r="P4" s="113">
        <f>_xlfn.XLOOKUP(G4,'Budget Worksheet'!$B$5:$B$234,'Budget Worksheet'!$U$5:$U$234,0)</f>
        <v>0</v>
      </c>
      <c r="Q4" s="107" t="e">
        <f>MATCH(G4,'Budget Worksheet'!$B$5:$B$234,0)</f>
        <v>#N/A</v>
      </c>
      <c r="R4" s="112">
        <f t="shared" ref="R4:R67" si="1">SUM(I4:N4)</f>
        <v>0</v>
      </c>
      <c r="S4" s="108"/>
    </row>
    <row r="5" spans="1:19" x14ac:dyDescent="0.25">
      <c r="A5" s="107">
        <v>2</v>
      </c>
      <c r="B5" s="105" t="s">
        <v>50</v>
      </c>
      <c r="C5" s="105" t="str">
        <f t="shared" ref="C5:C68" si="2">LEFT(G5,2)</f>
        <v>20</v>
      </c>
      <c r="D5" s="105">
        <v>10000</v>
      </c>
      <c r="E5" s="106" t="s">
        <v>1029</v>
      </c>
      <c r="F5" s="107" t="str">
        <f t="shared" si="0"/>
        <v>10000 Cash and Cash Equivalents</v>
      </c>
      <c r="G5" s="105" t="s">
        <v>166</v>
      </c>
      <c r="H5" s="107" t="s">
        <v>52</v>
      </c>
      <c r="I5" s="112">
        <v>0</v>
      </c>
      <c r="J5" s="113">
        <f>SUMIFS('Budget Worksheet'!$J$5:$J$234,'Budget Worksheet'!$B$5:$B$234,'Master Budget'!G5)</f>
        <v>0</v>
      </c>
      <c r="K5" s="113"/>
      <c r="L5" s="113">
        <f>SUMIFS('Budget Worksheet'!$L$5:$L$234,'Budget Worksheet'!$B$5:$B$234,'Master Budget'!G5)</f>
        <v>0</v>
      </c>
      <c r="M5" s="113">
        <f>_xlfn.XLOOKUP(G5,'Budget Worksheet'!$B$5:$B$234,'Budget Worksheet'!$N$5:$N$234,0)</f>
        <v>0</v>
      </c>
      <c r="N5" s="113">
        <f>_xlfn.XLOOKUP(G5,'Budget Worksheet'!$B$5:$B$234,'Budget Worksheet'!$U$5:$U$234,0)</f>
        <v>0</v>
      </c>
      <c r="O5" s="113">
        <f>_xlfn.XLOOKUP(G5,'Budget Worksheet'!$B$5:$B$234,'Budget Worksheet'!$S$5:$S$234,0)</f>
        <v>0</v>
      </c>
      <c r="P5" s="113">
        <f>_xlfn.XLOOKUP(H5,'Budget Worksheet'!$B$5:$B$234,'Budget Worksheet'!$U$5:$U$234,0)</f>
        <v>0</v>
      </c>
      <c r="Q5" s="107" t="e">
        <f>MATCH(G5,'Budget Worksheet'!$B$5:$B$234,0)</f>
        <v>#N/A</v>
      </c>
      <c r="R5" s="112">
        <f t="shared" si="1"/>
        <v>0</v>
      </c>
      <c r="S5" s="108"/>
    </row>
    <row r="6" spans="1:19" x14ac:dyDescent="0.25">
      <c r="A6" s="107">
        <v>3</v>
      </c>
      <c r="B6" s="105" t="s">
        <v>50</v>
      </c>
      <c r="C6" s="105" t="str">
        <f t="shared" si="2"/>
        <v>20</v>
      </c>
      <c r="D6" s="105">
        <v>10600</v>
      </c>
      <c r="E6" s="106" t="s">
        <v>1030</v>
      </c>
      <c r="F6" s="107" t="str">
        <f t="shared" si="0"/>
        <v>10600 Restricted cash and investments</v>
      </c>
      <c r="G6" s="105" t="s">
        <v>167</v>
      </c>
      <c r="H6" s="107" t="s">
        <v>1031</v>
      </c>
      <c r="I6" s="112">
        <v>0</v>
      </c>
      <c r="J6" s="113">
        <f>SUMIFS('Budget Worksheet'!$J$5:$J$234,'Budget Worksheet'!$B$5:$B$234,'Master Budget'!G6)</f>
        <v>0</v>
      </c>
      <c r="K6" s="113"/>
      <c r="L6" s="113">
        <f>SUMIFS('Budget Worksheet'!$L$5:$L$234,'Budget Worksheet'!$B$5:$B$234,'Master Budget'!G6)</f>
        <v>0</v>
      </c>
      <c r="M6" s="113">
        <f>_xlfn.XLOOKUP(G6,'Budget Worksheet'!$B$5:$B$234,'Budget Worksheet'!$N$5:$N$234,0)</f>
        <v>0</v>
      </c>
      <c r="N6" s="113">
        <f>_xlfn.XLOOKUP(G6,'Budget Worksheet'!$B$5:$B$234,'Budget Worksheet'!$U$5:$U$234,0)</f>
        <v>0</v>
      </c>
      <c r="O6" s="113">
        <f>_xlfn.XLOOKUP(G6,'Budget Worksheet'!$B$5:$B$234,'Budget Worksheet'!$S$5:$S$234,0)</f>
        <v>0</v>
      </c>
      <c r="P6" s="113">
        <f>_xlfn.XLOOKUP(H6,'Budget Worksheet'!$B$5:$B$234,'Budget Worksheet'!$U$5:$U$234,0)</f>
        <v>0</v>
      </c>
      <c r="Q6" s="107" t="e">
        <f>MATCH(G6,'Budget Worksheet'!$B$5:$B$234,0)</f>
        <v>#N/A</v>
      </c>
      <c r="R6" s="112">
        <f t="shared" si="1"/>
        <v>0</v>
      </c>
      <c r="S6" s="108"/>
    </row>
    <row r="7" spans="1:19" x14ac:dyDescent="0.25">
      <c r="A7" s="107">
        <v>4</v>
      </c>
      <c r="B7" s="105" t="s">
        <v>50</v>
      </c>
      <c r="C7" s="105" t="str">
        <f t="shared" si="2"/>
        <v>20</v>
      </c>
      <c r="D7" s="105">
        <v>10000</v>
      </c>
      <c r="E7" s="106" t="s">
        <v>1029</v>
      </c>
      <c r="F7" s="107" t="str">
        <f t="shared" si="0"/>
        <v>10000 Cash and Cash Equivalents</v>
      </c>
      <c r="G7" s="105" t="s">
        <v>169</v>
      </c>
      <c r="H7" s="107" t="s">
        <v>170</v>
      </c>
      <c r="I7" s="112">
        <v>0</v>
      </c>
      <c r="J7" s="113">
        <f>SUMIFS('Budget Worksheet'!$J$5:$J$234,'Budget Worksheet'!$B$5:$B$234,'Master Budget'!G7)</f>
        <v>0</v>
      </c>
      <c r="K7" s="113"/>
      <c r="L7" s="113">
        <f>SUMIFS('Budget Worksheet'!$L$5:$L$234,'Budget Worksheet'!$B$5:$B$234,'Master Budget'!G7)</f>
        <v>0</v>
      </c>
      <c r="M7" s="113">
        <f>_xlfn.XLOOKUP(G7,'Budget Worksheet'!$B$5:$B$234,'Budget Worksheet'!$N$5:$N$234,0)</f>
        <v>0</v>
      </c>
      <c r="N7" s="113">
        <f>_xlfn.XLOOKUP(G7,'Budget Worksheet'!$B$5:$B$234,'Budget Worksheet'!$U$5:$U$234,0)</f>
        <v>0</v>
      </c>
      <c r="O7" s="113">
        <f>_xlfn.XLOOKUP(G7,'Budget Worksheet'!$B$5:$B$234,'Budget Worksheet'!$S$5:$S$234,0)</f>
        <v>0</v>
      </c>
      <c r="P7" s="113">
        <f>_xlfn.XLOOKUP(H7,'Budget Worksheet'!$B$5:$B$234,'Budget Worksheet'!$U$5:$U$234,0)</f>
        <v>0</v>
      </c>
      <c r="Q7" s="107" t="e">
        <f>MATCH(G7,'Budget Worksheet'!$B$5:$B$234,0)</f>
        <v>#N/A</v>
      </c>
      <c r="R7" s="112">
        <f t="shared" si="1"/>
        <v>0</v>
      </c>
      <c r="S7" s="108"/>
    </row>
    <row r="8" spans="1:19" x14ac:dyDescent="0.25">
      <c r="A8" s="107">
        <v>5</v>
      </c>
      <c r="B8" s="105" t="s">
        <v>50</v>
      </c>
      <c r="C8" s="105" t="str">
        <f t="shared" si="2"/>
        <v>20</v>
      </c>
      <c r="D8" s="105">
        <v>10600</v>
      </c>
      <c r="E8" s="106" t="s">
        <v>1030</v>
      </c>
      <c r="F8" s="107" t="str">
        <f t="shared" si="0"/>
        <v>10600 Restricted cash and investments</v>
      </c>
      <c r="G8" s="105" t="s">
        <v>171</v>
      </c>
      <c r="H8" s="107" t="s">
        <v>172</v>
      </c>
      <c r="I8" s="112">
        <v>0</v>
      </c>
      <c r="J8" s="113">
        <f>SUMIFS('Budget Worksheet'!$J$5:$J$234,'Budget Worksheet'!$B$5:$B$234,'Master Budget'!G8)</f>
        <v>0</v>
      </c>
      <c r="K8" s="113"/>
      <c r="L8" s="113">
        <f>SUMIFS('Budget Worksheet'!$L$5:$L$234,'Budget Worksheet'!$B$5:$B$234,'Master Budget'!G8)</f>
        <v>0</v>
      </c>
      <c r="M8" s="113">
        <f>_xlfn.XLOOKUP(G8,'Budget Worksheet'!$B$5:$B$234,'Budget Worksheet'!$N$5:$N$234,0)</f>
        <v>0</v>
      </c>
      <c r="N8" s="113">
        <f>_xlfn.XLOOKUP(G8,'Budget Worksheet'!$B$5:$B$234,'Budget Worksheet'!$U$5:$U$234,0)</f>
        <v>0</v>
      </c>
      <c r="O8" s="113">
        <f>_xlfn.XLOOKUP(G8,'Budget Worksheet'!$B$5:$B$234,'Budget Worksheet'!$S$5:$S$234,0)</f>
        <v>0</v>
      </c>
      <c r="P8" s="113">
        <f>_xlfn.XLOOKUP(H8,'Budget Worksheet'!$B$5:$B$234,'Budget Worksheet'!$U$5:$U$234,0)</f>
        <v>0</v>
      </c>
      <c r="Q8" s="107" t="e">
        <f>MATCH(G8,'Budget Worksheet'!$B$5:$B$234,0)</f>
        <v>#N/A</v>
      </c>
      <c r="R8" s="112">
        <f t="shared" si="1"/>
        <v>0</v>
      </c>
      <c r="S8" s="108"/>
    </row>
    <row r="9" spans="1:19" x14ac:dyDescent="0.25">
      <c r="A9" s="107">
        <v>6</v>
      </c>
      <c r="B9" s="105" t="s">
        <v>50</v>
      </c>
      <c r="C9" s="105" t="str">
        <f t="shared" si="2"/>
        <v>20</v>
      </c>
      <c r="D9" s="105">
        <v>11500</v>
      </c>
      <c r="E9" s="106" t="s">
        <v>54</v>
      </c>
      <c r="F9" s="107" t="str">
        <f t="shared" si="0"/>
        <v>11500 Accounts Receivable</v>
      </c>
      <c r="G9" s="105" t="s">
        <v>175</v>
      </c>
      <c r="H9" s="107" t="s">
        <v>54</v>
      </c>
      <c r="I9" s="112">
        <v>0</v>
      </c>
      <c r="J9" s="113">
        <f>SUMIFS('Budget Worksheet'!$J$5:$J$234,'Budget Worksheet'!$B$5:$B$234,'Master Budget'!G9)</f>
        <v>0</v>
      </c>
      <c r="K9" s="113"/>
      <c r="L9" s="113">
        <f>SUMIFS('Budget Worksheet'!$L$5:$L$234,'Budget Worksheet'!$B$5:$B$234,'Master Budget'!G9)</f>
        <v>0</v>
      </c>
      <c r="M9" s="113">
        <f>_xlfn.XLOOKUP(G9,'Budget Worksheet'!$B$5:$B$234,'Budget Worksheet'!$N$5:$N$234,0)</f>
        <v>0</v>
      </c>
      <c r="N9" s="113">
        <f>_xlfn.XLOOKUP(G9,'Budget Worksheet'!$B$5:$B$234,'Budget Worksheet'!$U$5:$U$234,0)</f>
        <v>0</v>
      </c>
      <c r="O9" s="113">
        <f>_xlfn.XLOOKUP(G9,'Budget Worksheet'!$B$5:$B$234,'Budget Worksheet'!$S$5:$S$234,0)</f>
        <v>0</v>
      </c>
      <c r="P9" s="113">
        <f>_xlfn.XLOOKUP(H9,'Budget Worksheet'!$B$5:$B$234,'Budget Worksheet'!$U$5:$U$234,0)</f>
        <v>0</v>
      </c>
      <c r="Q9" s="107" t="e">
        <f>MATCH(G9,'Budget Worksheet'!$B$5:$B$234,0)</f>
        <v>#N/A</v>
      </c>
      <c r="R9" s="112">
        <f t="shared" si="1"/>
        <v>0</v>
      </c>
      <c r="S9" s="108"/>
    </row>
    <row r="10" spans="1:19" x14ac:dyDescent="0.25">
      <c r="A10" s="107">
        <v>7</v>
      </c>
      <c r="B10" s="105" t="s">
        <v>50</v>
      </c>
      <c r="C10" s="105" t="str">
        <f t="shared" si="2"/>
        <v>20</v>
      </c>
      <c r="D10" s="105">
        <v>11510</v>
      </c>
      <c r="E10" s="106" t="s">
        <v>177</v>
      </c>
      <c r="F10" s="107" t="str">
        <f t="shared" si="0"/>
        <v>11510 Property Tax Receivable</v>
      </c>
      <c r="G10" s="105" t="s">
        <v>176</v>
      </c>
      <c r="H10" s="107" t="s">
        <v>177</v>
      </c>
      <c r="I10" s="112">
        <v>0</v>
      </c>
      <c r="J10" s="113">
        <f>SUMIFS('Budget Worksheet'!$J$5:$J$234,'Budget Worksheet'!$B$5:$B$234,'Master Budget'!G10)</f>
        <v>0</v>
      </c>
      <c r="K10" s="113"/>
      <c r="L10" s="113">
        <f>SUMIFS('Budget Worksheet'!$L$5:$L$234,'Budget Worksheet'!$B$5:$B$234,'Master Budget'!G10)</f>
        <v>0</v>
      </c>
      <c r="M10" s="113">
        <f>_xlfn.XLOOKUP(G10,'Budget Worksheet'!$B$5:$B$234,'Budget Worksheet'!$N$5:$N$234,0)</f>
        <v>0</v>
      </c>
      <c r="N10" s="113">
        <f>_xlfn.XLOOKUP(G10,'Budget Worksheet'!$B$5:$B$234,'Budget Worksheet'!$U$5:$U$234,0)</f>
        <v>0</v>
      </c>
      <c r="O10" s="113">
        <f>_xlfn.XLOOKUP(G10,'Budget Worksheet'!$B$5:$B$234,'Budget Worksheet'!$S$5:$S$234,0)</f>
        <v>0</v>
      </c>
      <c r="P10" s="113">
        <f>_xlfn.XLOOKUP(H10,'Budget Worksheet'!$B$5:$B$234,'Budget Worksheet'!$U$5:$U$234,0)</f>
        <v>0</v>
      </c>
      <c r="Q10" s="107" t="e">
        <f>MATCH(G10,'Budget Worksheet'!$B$5:$B$234,0)</f>
        <v>#N/A</v>
      </c>
      <c r="R10" s="112">
        <f t="shared" si="1"/>
        <v>0</v>
      </c>
      <c r="S10" s="108"/>
    </row>
    <row r="11" spans="1:19" x14ac:dyDescent="0.25">
      <c r="A11" s="107">
        <v>8</v>
      </c>
      <c r="B11" s="105" t="s">
        <v>50</v>
      </c>
      <c r="C11" s="105" t="str">
        <f t="shared" si="2"/>
        <v>20</v>
      </c>
      <c r="D11" s="105">
        <v>11500</v>
      </c>
      <c r="E11" s="106" t="s">
        <v>54</v>
      </c>
      <c r="F11" s="107" t="str">
        <f t="shared" si="0"/>
        <v>11500 Accounts Receivable</v>
      </c>
      <c r="G11" s="105" t="s">
        <v>178</v>
      </c>
      <c r="H11" s="107" t="s">
        <v>179</v>
      </c>
      <c r="I11" s="112">
        <v>0</v>
      </c>
      <c r="J11" s="113">
        <f>SUMIFS('Budget Worksheet'!$J$5:$J$234,'Budget Worksheet'!$B$5:$B$234,'Master Budget'!G11)</f>
        <v>0</v>
      </c>
      <c r="K11" s="113"/>
      <c r="L11" s="113">
        <f>SUMIFS('Budget Worksheet'!$L$5:$L$234,'Budget Worksheet'!$B$5:$B$234,'Master Budget'!G11)</f>
        <v>0</v>
      </c>
      <c r="M11" s="113">
        <f>_xlfn.XLOOKUP(G11,'Budget Worksheet'!$B$5:$B$234,'Budget Worksheet'!$N$5:$N$234,0)</f>
        <v>0</v>
      </c>
      <c r="N11" s="113">
        <f>_xlfn.XLOOKUP(G11,'Budget Worksheet'!$B$5:$B$234,'Budget Worksheet'!$U$5:$U$234,0)</f>
        <v>0</v>
      </c>
      <c r="O11" s="113">
        <f>_xlfn.XLOOKUP(G11,'Budget Worksheet'!$B$5:$B$234,'Budget Worksheet'!$S$5:$S$234,0)</f>
        <v>0</v>
      </c>
      <c r="P11" s="113">
        <f>_xlfn.XLOOKUP(H11,'Budget Worksheet'!$B$5:$B$234,'Budget Worksheet'!$U$5:$U$234,0)</f>
        <v>0</v>
      </c>
      <c r="Q11" s="107" t="e">
        <f>MATCH(G11,'Budget Worksheet'!$B$5:$B$234,0)</f>
        <v>#N/A</v>
      </c>
      <c r="R11" s="112">
        <f t="shared" si="1"/>
        <v>0</v>
      </c>
      <c r="S11" s="108"/>
    </row>
    <row r="12" spans="1:19" x14ac:dyDescent="0.25">
      <c r="A12" s="107">
        <v>9</v>
      </c>
      <c r="B12" s="105" t="s">
        <v>50</v>
      </c>
      <c r="C12" s="105" t="str">
        <f t="shared" si="2"/>
        <v>20</v>
      </c>
      <c r="D12" s="105">
        <v>14300</v>
      </c>
      <c r="E12" s="106" t="s">
        <v>56</v>
      </c>
      <c r="F12" s="107" t="str">
        <f t="shared" si="0"/>
        <v>14300 Prepaid Expenses</v>
      </c>
      <c r="G12" s="105" t="s">
        <v>180</v>
      </c>
      <c r="H12" s="107" t="s">
        <v>56</v>
      </c>
      <c r="I12" s="112">
        <v>0</v>
      </c>
      <c r="J12" s="113">
        <f>SUMIFS('Budget Worksheet'!$J$5:$J$234,'Budget Worksheet'!$B$5:$B$234,'Master Budget'!G12)</f>
        <v>0</v>
      </c>
      <c r="K12" s="113"/>
      <c r="L12" s="113">
        <f>SUMIFS('Budget Worksheet'!$L$5:$L$234,'Budget Worksheet'!$B$5:$B$234,'Master Budget'!G12)</f>
        <v>0</v>
      </c>
      <c r="M12" s="113">
        <f>_xlfn.XLOOKUP(G12,'Budget Worksheet'!$B$5:$B$234,'Budget Worksheet'!$N$5:$N$234,0)</f>
        <v>0</v>
      </c>
      <c r="N12" s="113">
        <f>_xlfn.XLOOKUP(G12,'Budget Worksheet'!$B$5:$B$234,'Budget Worksheet'!$U$5:$U$234,0)</f>
        <v>0</v>
      </c>
      <c r="O12" s="113">
        <f>_xlfn.XLOOKUP(G12,'Budget Worksheet'!$B$5:$B$234,'Budget Worksheet'!$S$5:$S$234,0)</f>
        <v>0</v>
      </c>
      <c r="P12" s="113">
        <f>_xlfn.XLOOKUP(H12,'Budget Worksheet'!$B$5:$B$234,'Budget Worksheet'!$U$5:$U$234,0)</f>
        <v>0</v>
      </c>
      <c r="Q12" s="107" t="e">
        <f>MATCH(G12,'Budget Worksheet'!$B$5:$B$234,0)</f>
        <v>#N/A</v>
      </c>
      <c r="R12" s="112">
        <f t="shared" si="1"/>
        <v>0</v>
      </c>
      <c r="S12" s="108"/>
    </row>
    <row r="13" spans="1:19" x14ac:dyDescent="0.25">
      <c r="A13" s="107">
        <v>10</v>
      </c>
      <c r="B13" s="105" t="s">
        <v>50</v>
      </c>
      <c r="C13" s="105" t="str">
        <f t="shared" si="2"/>
        <v>20</v>
      </c>
      <c r="D13" s="105">
        <v>16320</v>
      </c>
      <c r="E13" s="106" t="s">
        <v>796</v>
      </c>
      <c r="F13" s="107" t="str">
        <f t="shared" si="0"/>
        <v>16320 Equipment</v>
      </c>
      <c r="G13" s="105" t="s">
        <v>181</v>
      </c>
      <c r="H13" s="107" t="s">
        <v>58</v>
      </c>
      <c r="I13" s="112">
        <v>0</v>
      </c>
      <c r="J13" s="113">
        <f>SUMIFS('Budget Worksheet'!$J$5:$J$234,'Budget Worksheet'!$B$5:$B$234,'Master Budget'!G13)</f>
        <v>0</v>
      </c>
      <c r="K13" s="113"/>
      <c r="L13" s="113">
        <f>SUMIFS('Budget Worksheet'!$L$5:$L$234,'Budget Worksheet'!$B$5:$B$234,'Master Budget'!G13)</f>
        <v>0</v>
      </c>
      <c r="M13" s="113">
        <f>_xlfn.XLOOKUP(G13,'Budget Worksheet'!$B$5:$B$234,'Budget Worksheet'!$N$5:$N$234,0)</f>
        <v>0</v>
      </c>
      <c r="N13" s="113">
        <f>_xlfn.XLOOKUP(G13,'Budget Worksheet'!$B$5:$B$234,'Budget Worksheet'!$U$5:$U$234,0)</f>
        <v>0</v>
      </c>
      <c r="O13" s="113">
        <f>_xlfn.XLOOKUP(G13,'Budget Worksheet'!$B$5:$B$234,'Budget Worksheet'!$S$5:$S$234,0)</f>
        <v>0</v>
      </c>
      <c r="P13" s="113">
        <f>_xlfn.XLOOKUP(H13,'Budget Worksheet'!$B$5:$B$234,'Budget Worksheet'!$U$5:$U$234,0)</f>
        <v>0</v>
      </c>
      <c r="Q13" s="107" t="e">
        <f>MATCH(G13,'Budget Worksheet'!$B$5:$B$234,0)</f>
        <v>#N/A</v>
      </c>
      <c r="R13" s="112">
        <f t="shared" si="1"/>
        <v>0</v>
      </c>
      <c r="S13" s="108"/>
    </row>
    <row r="14" spans="1:19" x14ac:dyDescent="0.25">
      <c r="A14" s="107">
        <v>11</v>
      </c>
      <c r="B14" s="105" t="s">
        <v>50</v>
      </c>
      <c r="C14" s="105" t="str">
        <f t="shared" si="2"/>
        <v>20</v>
      </c>
      <c r="D14" s="105">
        <v>16350</v>
      </c>
      <c r="E14" s="106" t="s">
        <v>60</v>
      </c>
      <c r="F14" s="107" t="str">
        <f t="shared" si="0"/>
        <v>16350 Land</v>
      </c>
      <c r="G14" s="105" t="s">
        <v>182</v>
      </c>
      <c r="H14" s="107" t="s">
        <v>60</v>
      </c>
      <c r="I14" s="112">
        <v>0</v>
      </c>
      <c r="J14" s="113">
        <f>SUMIFS('Budget Worksheet'!$J$5:$J$234,'Budget Worksheet'!$B$5:$B$234,'Master Budget'!G14)</f>
        <v>0</v>
      </c>
      <c r="K14" s="113"/>
      <c r="L14" s="113">
        <f>SUMIFS('Budget Worksheet'!$L$5:$L$234,'Budget Worksheet'!$B$5:$B$234,'Master Budget'!G14)</f>
        <v>0</v>
      </c>
      <c r="M14" s="113">
        <f>_xlfn.XLOOKUP(G14,'Budget Worksheet'!$B$5:$B$234,'Budget Worksheet'!$N$5:$N$234,0)</f>
        <v>0</v>
      </c>
      <c r="N14" s="113">
        <f>_xlfn.XLOOKUP(G14,'Budget Worksheet'!$B$5:$B$234,'Budget Worksheet'!$U$5:$U$234,0)</f>
        <v>0</v>
      </c>
      <c r="O14" s="113">
        <f>_xlfn.XLOOKUP(G14,'Budget Worksheet'!$B$5:$B$234,'Budget Worksheet'!$S$5:$S$234,0)</f>
        <v>0</v>
      </c>
      <c r="P14" s="113">
        <f>_xlfn.XLOOKUP(H14,'Budget Worksheet'!$B$5:$B$234,'Budget Worksheet'!$U$5:$U$234,0)</f>
        <v>0</v>
      </c>
      <c r="Q14" s="107" t="e">
        <f>MATCH(G14,'Budget Worksheet'!$B$5:$B$234,0)</f>
        <v>#N/A</v>
      </c>
      <c r="R14" s="112">
        <f t="shared" si="1"/>
        <v>0</v>
      </c>
      <c r="S14" s="108"/>
    </row>
    <row r="15" spans="1:19" x14ac:dyDescent="0.25">
      <c r="A15" s="107">
        <v>12</v>
      </c>
      <c r="B15" s="105" t="s">
        <v>50</v>
      </c>
      <c r="C15" s="105" t="str">
        <f t="shared" si="2"/>
        <v>20</v>
      </c>
      <c r="D15" s="105">
        <v>16320</v>
      </c>
      <c r="E15" s="106" t="s">
        <v>796</v>
      </c>
      <c r="F15" s="107" t="str">
        <f t="shared" si="0"/>
        <v>16320 Equipment</v>
      </c>
      <c r="G15" s="105" t="s">
        <v>183</v>
      </c>
      <c r="H15" s="107" t="s">
        <v>184</v>
      </c>
      <c r="I15" s="112">
        <v>0</v>
      </c>
      <c r="J15" s="113">
        <f>SUMIFS('Budget Worksheet'!$J$5:$J$234,'Budget Worksheet'!$B$5:$B$234,'Master Budget'!G15)</f>
        <v>0</v>
      </c>
      <c r="K15" s="113"/>
      <c r="L15" s="113">
        <f>SUMIFS('Budget Worksheet'!$L$5:$L$234,'Budget Worksheet'!$B$5:$B$234,'Master Budget'!G15)</f>
        <v>0</v>
      </c>
      <c r="M15" s="113">
        <f>_xlfn.XLOOKUP(G15,'Budget Worksheet'!$B$5:$B$234,'Budget Worksheet'!$N$5:$N$234,0)</f>
        <v>0</v>
      </c>
      <c r="N15" s="113">
        <f>_xlfn.XLOOKUP(G15,'Budget Worksheet'!$B$5:$B$234,'Budget Worksheet'!$U$5:$U$234,0)</f>
        <v>0</v>
      </c>
      <c r="O15" s="113">
        <f>_xlfn.XLOOKUP(G15,'Budget Worksheet'!$B$5:$B$234,'Budget Worksheet'!$S$5:$S$234,0)</f>
        <v>0</v>
      </c>
      <c r="P15" s="113">
        <f>_xlfn.XLOOKUP(H15,'Budget Worksheet'!$B$5:$B$234,'Budget Worksheet'!$U$5:$U$234,0)</f>
        <v>0</v>
      </c>
      <c r="Q15" s="107" t="e">
        <f>MATCH(G15,'Budget Worksheet'!$B$5:$B$234,0)</f>
        <v>#N/A</v>
      </c>
      <c r="R15" s="112">
        <f t="shared" si="1"/>
        <v>0</v>
      </c>
      <c r="S15" s="108"/>
    </row>
    <row r="16" spans="1:19" x14ac:dyDescent="0.25">
      <c r="A16" s="107">
        <v>13</v>
      </c>
      <c r="B16" s="105" t="s">
        <v>50</v>
      </c>
      <c r="C16" s="105" t="str">
        <f t="shared" si="2"/>
        <v>20</v>
      </c>
      <c r="D16" s="105">
        <v>16320</v>
      </c>
      <c r="E16" s="106" t="s">
        <v>796</v>
      </c>
      <c r="F16" s="107" t="str">
        <f t="shared" si="0"/>
        <v>16320 Equipment</v>
      </c>
      <c r="G16" s="105" t="s">
        <v>185</v>
      </c>
      <c r="H16" s="107" t="s">
        <v>186</v>
      </c>
      <c r="I16" s="112">
        <v>0</v>
      </c>
      <c r="J16" s="113">
        <f>SUMIFS('Budget Worksheet'!$J$5:$J$234,'Budget Worksheet'!$B$5:$B$234,'Master Budget'!G16)</f>
        <v>0</v>
      </c>
      <c r="K16" s="113"/>
      <c r="L16" s="113">
        <f>SUMIFS('Budget Worksheet'!$L$5:$L$234,'Budget Worksheet'!$B$5:$B$234,'Master Budget'!G16)</f>
        <v>0</v>
      </c>
      <c r="M16" s="113">
        <f>_xlfn.XLOOKUP(G16,'Budget Worksheet'!$B$5:$B$234,'Budget Worksheet'!$N$5:$N$234,0)</f>
        <v>0</v>
      </c>
      <c r="N16" s="113">
        <f>_xlfn.XLOOKUP(G16,'Budget Worksheet'!$B$5:$B$234,'Budget Worksheet'!$U$5:$U$234,0)</f>
        <v>0</v>
      </c>
      <c r="O16" s="113">
        <f>_xlfn.XLOOKUP(G16,'Budget Worksheet'!$B$5:$B$234,'Budget Worksheet'!$S$5:$S$234,0)</f>
        <v>0</v>
      </c>
      <c r="P16" s="113">
        <f>_xlfn.XLOOKUP(H16,'Budget Worksheet'!$B$5:$B$234,'Budget Worksheet'!$U$5:$U$234,0)</f>
        <v>0</v>
      </c>
      <c r="Q16" s="107" t="e">
        <f>MATCH(G16,'Budget Worksheet'!$B$5:$B$234,0)</f>
        <v>#N/A</v>
      </c>
      <c r="R16" s="112">
        <f t="shared" si="1"/>
        <v>0</v>
      </c>
      <c r="S16" s="108"/>
    </row>
    <row r="17" spans="1:19" x14ac:dyDescent="0.25">
      <c r="A17" s="107">
        <v>14</v>
      </c>
      <c r="B17" s="105" t="s">
        <v>50</v>
      </c>
      <c r="C17" s="105" t="str">
        <f t="shared" si="2"/>
        <v>20</v>
      </c>
      <c r="D17" s="105">
        <v>16330</v>
      </c>
      <c r="E17" s="106" t="s">
        <v>1032</v>
      </c>
      <c r="F17" s="107" t="str">
        <f t="shared" si="0"/>
        <v>16330 Building and Improvements</v>
      </c>
      <c r="G17" s="105" t="s">
        <v>187</v>
      </c>
      <c r="H17" s="107" t="s">
        <v>188</v>
      </c>
      <c r="I17" s="112">
        <v>0</v>
      </c>
      <c r="J17" s="113">
        <f>SUMIFS('Budget Worksheet'!$J$5:$J$234,'Budget Worksheet'!$B$5:$B$234,'Master Budget'!G17)</f>
        <v>0</v>
      </c>
      <c r="K17" s="113"/>
      <c r="L17" s="113">
        <f>SUMIFS('Budget Worksheet'!$L$5:$L$234,'Budget Worksheet'!$B$5:$B$234,'Master Budget'!G17)</f>
        <v>0</v>
      </c>
      <c r="M17" s="113">
        <f>_xlfn.XLOOKUP(G17,'Budget Worksheet'!$B$5:$B$234,'Budget Worksheet'!$N$5:$N$234,0)</f>
        <v>0</v>
      </c>
      <c r="N17" s="113">
        <f>_xlfn.XLOOKUP(G17,'Budget Worksheet'!$B$5:$B$234,'Budget Worksheet'!$U$5:$U$234,0)</f>
        <v>0</v>
      </c>
      <c r="O17" s="113">
        <f>_xlfn.XLOOKUP(G17,'Budget Worksheet'!$B$5:$B$234,'Budget Worksheet'!$S$5:$S$234,0)</f>
        <v>0</v>
      </c>
      <c r="P17" s="113">
        <f>_xlfn.XLOOKUP(H17,'Budget Worksheet'!$B$5:$B$234,'Budget Worksheet'!$U$5:$U$234,0)</f>
        <v>0</v>
      </c>
      <c r="Q17" s="107" t="e">
        <f>MATCH(G17,'Budget Worksheet'!$B$5:$B$234,0)</f>
        <v>#N/A</v>
      </c>
      <c r="R17" s="112">
        <f t="shared" si="1"/>
        <v>0</v>
      </c>
      <c r="S17" s="108"/>
    </row>
    <row r="18" spans="1:19" x14ac:dyDescent="0.25">
      <c r="A18" s="107">
        <v>15</v>
      </c>
      <c r="B18" s="105" t="s">
        <v>50</v>
      </c>
      <c r="C18" s="105" t="str">
        <f t="shared" si="2"/>
        <v>20</v>
      </c>
      <c r="D18" s="105">
        <v>16330</v>
      </c>
      <c r="E18" s="106" t="s">
        <v>1032</v>
      </c>
      <c r="F18" s="107" t="str">
        <f t="shared" si="0"/>
        <v>16330 Building and Improvements</v>
      </c>
      <c r="G18" s="105" t="s">
        <v>189</v>
      </c>
      <c r="H18" s="107" t="s">
        <v>190</v>
      </c>
      <c r="I18" s="112">
        <v>0</v>
      </c>
      <c r="J18" s="113">
        <f>SUMIFS('Budget Worksheet'!$J$5:$J$234,'Budget Worksheet'!$B$5:$B$234,'Master Budget'!G18)</f>
        <v>0</v>
      </c>
      <c r="K18" s="113"/>
      <c r="L18" s="113">
        <f>SUMIFS('Budget Worksheet'!$L$5:$L$234,'Budget Worksheet'!$B$5:$B$234,'Master Budget'!G18)</f>
        <v>0</v>
      </c>
      <c r="M18" s="113">
        <f>_xlfn.XLOOKUP(G18,'Budget Worksheet'!$B$5:$B$234,'Budget Worksheet'!$N$5:$N$234,0)</f>
        <v>0</v>
      </c>
      <c r="N18" s="113">
        <f>_xlfn.XLOOKUP(G18,'Budget Worksheet'!$B$5:$B$234,'Budget Worksheet'!$U$5:$U$234,0)</f>
        <v>0</v>
      </c>
      <c r="O18" s="113">
        <f>_xlfn.XLOOKUP(G18,'Budget Worksheet'!$B$5:$B$234,'Budget Worksheet'!$S$5:$S$234,0)</f>
        <v>0</v>
      </c>
      <c r="P18" s="113">
        <f>_xlfn.XLOOKUP(H18,'Budget Worksheet'!$B$5:$B$234,'Budget Worksheet'!$U$5:$U$234,0)</f>
        <v>0</v>
      </c>
      <c r="Q18" s="107" t="e">
        <f>MATCH(G18,'Budget Worksheet'!$B$5:$B$234,0)</f>
        <v>#N/A</v>
      </c>
      <c r="R18" s="112">
        <f t="shared" si="1"/>
        <v>0</v>
      </c>
      <c r="S18" s="108"/>
    </row>
    <row r="19" spans="1:19" x14ac:dyDescent="0.25">
      <c r="A19" s="107">
        <v>16</v>
      </c>
      <c r="B19" s="105" t="s">
        <v>50</v>
      </c>
      <c r="C19" s="105" t="str">
        <f t="shared" si="2"/>
        <v>20</v>
      </c>
      <c r="D19" s="105">
        <v>16330</v>
      </c>
      <c r="E19" s="106" t="s">
        <v>1032</v>
      </c>
      <c r="F19" s="107" t="str">
        <f t="shared" si="0"/>
        <v>16330 Building and Improvements</v>
      </c>
      <c r="G19" s="105" t="s">
        <v>191</v>
      </c>
      <c r="H19" s="107" t="s">
        <v>192</v>
      </c>
      <c r="I19" s="112">
        <v>0</v>
      </c>
      <c r="J19" s="113">
        <f>SUMIFS('Budget Worksheet'!$J$5:$J$234,'Budget Worksheet'!$B$5:$B$234,'Master Budget'!G19)</f>
        <v>0</v>
      </c>
      <c r="K19" s="113"/>
      <c r="L19" s="113">
        <f>SUMIFS('Budget Worksheet'!$L$5:$L$234,'Budget Worksheet'!$B$5:$B$234,'Master Budget'!G19)</f>
        <v>0</v>
      </c>
      <c r="M19" s="113">
        <f>_xlfn.XLOOKUP(G19,'Budget Worksheet'!$B$5:$B$234,'Budget Worksheet'!$N$5:$N$234,0)</f>
        <v>0</v>
      </c>
      <c r="N19" s="113">
        <f>_xlfn.XLOOKUP(G19,'Budget Worksheet'!$B$5:$B$234,'Budget Worksheet'!$U$5:$U$234,0)</f>
        <v>0</v>
      </c>
      <c r="O19" s="113">
        <f>_xlfn.XLOOKUP(G19,'Budget Worksheet'!$B$5:$B$234,'Budget Worksheet'!$S$5:$S$234,0)</f>
        <v>0</v>
      </c>
      <c r="P19" s="113">
        <f>_xlfn.XLOOKUP(H19,'Budget Worksheet'!$B$5:$B$234,'Budget Worksheet'!$U$5:$U$234,0)</f>
        <v>0</v>
      </c>
      <c r="Q19" s="107" t="e">
        <f>MATCH(G19,'Budget Worksheet'!$B$5:$B$234,0)</f>
        <v>#N/A</v>
      </c>
      <c r="R19" s="112">
        <f t="shared" si="1"/>
        <v>0</v>
      </c>
      <c r="S19" s="108"/>
    </row>
    <row r="20" spans="1:19" x14ac:dyDescent="0.25">
      <c r="A20" s="107">
        <v>17</v>
      </c>
      <c r="B20" s="105" t="s">
        <v>50</v>
      </c>
      <c r="C20" s="105" t="str">
        <f t="shared" si="2"/>
        <v>20</v>
      </c>
      <c r="D20" s="105">
        <v>16320</v>
      </c>
      <c r="E20" s="106" t="s">
        <v>796</v>
      </c>
      <c r="F20" s="107" t="str">
        <f t="shared" si="0"/>
        <v>16320 Equipment</v>
      </c>
      <c r="G20" s="105" t="s">
        <v>193</v>
      </c>
      <c r="H20" s="107" t="s">
        <v>194</v>
      </c>
      <c r="I20" s="112">
        <v>0</v>
      </c>
      <c r="J20" s="113">
        <f>SUMIFS('Budget Worksheet'!$J$5:$J$234,'Budget Worksheet'!$B$5:$B$234,'Master Budget'!G20)</f>
        <v>0</v>
      </c>
      <c r="K20" s="113"/>
      <c r="L20" s="113">
        <f>SUMIFS('Budget Worksheet'!$L$5:$L$234,'Budget Worksheet'!$B$5:$B$234,'Master Budget'!G20)</f>
        <v>0</v>
      </c>
      <c r="M20" s="113">
        <f>_xlfn.XLOOKUP(G20,'Budget Worksheet'!$B$5:$B$234,'Budget Worksheet'!$N$5:$N$234,0)</f>
        <v>0</v>
      </c>
      <c r="N20" s="113">
        <f>_xlfn.XLOOKUP(G20,'Budget Worksheet'!$B$5:$B$234,'Budget Worksheet'!$U$5:$U$234,0)</f>
        <v>0</v>
      </c>
      <c r="O20" s="113">
        <f>_xlfn.XLOOKUP(G20,'Budget Worksheet'!$B$5:$B$234,'Budget Worksheet'!$S$5:$S$234,0)</f>
        <v>0</v>
      </c>
      <c r="P20" s="113">
        <f>_xlfn.XLOOKUP(H20,'Budget Worksheet'!$B$5:$B$234,'Budget Worksheet'!$U$5:$U$234,0)</f>
        <v>0</v>
      </c>
      <c r="Q20" s="107" t="e">
        <f>MATCH(G20,'Budget Worksheet'!$B$5:$B$234,0)</f>
        <v>#N/A</v>
      </c>
      <c r="R20" s="112">
        <f t="shared" si="1"/>
        <v>0</v>
      </c>
      <c r="S20" s="108"/>
    </row>
    <row r="21" spans="1:19" x14ac:dyDescent="0.25">
      <c r="A21" s="107">
        <v>18</v>
      </c>
      <c r="B21" s="105" t="s">
        <v>50</v>
      </c>
      <c r="C21" s="105" t="str">
        <f t="shared" si="2"/>
        <v>20</v>
      </c>
      <c r="D21" s="105">
        <v>16500</v>
      </c>
      <c r="E21" s="106" t="s">
        <v>1033</v>
      </c>
      <c r="F21" s="107" t="str">
        <f t="shared" si="0"/>
        <v>16500 Right to use assets</v>
      </c>
      <c r="G21" s="105" t="s">
        <v>1034</v>
      </c>
      <c r="H21" s="107" t="s">
        <v>1035</v>
      </c>
      <c r="I21" s="112">
        <v>0</v>
      </c>
      <c r="J21" s="113">
        <f>SUMIFS('Budget Worksheet'!$J$5:$J$234,'Budget Worksheet'!$B$5:$B$234,'Master Budget'!G21)</f>
        <v>0</v>
      </c>
      <c r="K21" s="113"/>
      <c r="L21" s="113">
        <f>SUMIFS('Budget Worksheet'!$L$5:$L$234,'Budget Worksheet'!$B$5:$B$234,'Master Budget'!G21)</f>
        <v>0</v>
      </c>
      <c r="M21" s="113">
        <f>_xlfn.XLOOKUP(G21,'Budget Worksheet'!$B$5:$B$234,'Budget Worksheet'!$N$5:$N$234,0)</f>
        <v>0</v>
      </c>
      <c r="N21" s="113">
        <f>_xlfn.XLOOKUP(G21,'Budget Worksheet'!$B$5:$B$234,'Budget Worksheet'!$U$5:$U$234,0)</f>
        <v>0</v>
      </c>
      <c r="O21" s="113">
        <f>_xlfn.XLOOKUP(G21,'Budget Worksheet'!$B$5:$B$234,'Budget Worksheet'!$S$5:$S$234,0)</f>
        <v>0</v>
      </c>
      <c r="P21" s="113">
        <f>_xlfn.XLOOKUP(H21,'Budget Worksheet'!$B$5:$B$234,'Budget Worksheet'!$U$5:$U$234,0)</f>
        <v>0</v>
      </c>
      <c r="Q21" s="107" t="e">
        <f>MATCH(G21,'Budget Worksheet'!$B$5:$B$234,0)</f>
        <v>#N/A</v>
      </c>
      <c r="R21" s="112">
        <f t="shared" si="1"/>
        <v>0</v>
      </c>
      <c r="S21" s="108"/>
    </row>
    <row r="22" spans="1:19" x14ac:dyDescent="0.25">
      <c r="A22" s="107">
        <v>19</v>
      </c>
      <c r="B22" s="105" t="s">
        <v>50</v>
      </c>
      <c r="C22" s="105" t="str">
        <f t="shared" si="2"/>
        <v>20</v>
      </c>
      <c r="D22" s="105">
        <v>16500</v>
      </c>
      <c r="E22" s="106" t="s">
        <v>1033</v>
      </c>
      <c r="F22" s="107" t="str">
        <f t="shared" si="0"/>
        <v>16500 Right to use assets</v>
      </c>
      <c r="G22" s="105" t="s">
        <v>1036</v>
      </c>
      <c r="H22" s="107" t="s">
        <v>1037</v>
      </c>
      <c r="I22" s="112">
        <v>0</v>
      </c>
      <c r="J22" s="113">
        <f>SUMIFS('Budget Worksheet'!$J$5:$J$234,'Budget Worksheet'!$B$5:$B$234,'Master Budget'!G22)</f>
        <v>0</v>
      </c>
      <c r="K22" s="113"/>
      <c r="L22" s="113">
        <f>SUMIFS('Budget Worksheet'!$L$5:$L$234,'Budget Worksheet'!$B$5:$B$234,'Master Budget'!G22)</f>
        <v>0</v>
      </c>
      <c r="M22" s="113">
        <f>_xlfn.XLOOKUP(G22,'Budget Worksheet'!$B$5:$B$234,'Budget Worksheet'!$N$5:$N$234,0)</f>
        <v>0</v>
      </c>
      <c r="N22" s="113">
        <f>_xlfn.XLOOKUP(G22,'Budget Worksheet'!$B$5:$B$234,'Budget Worksheet'!$U$5:$U$234,0)</f>
        <v>0</v>
      </c>
      <c r="O22" s="113">
        <f>_xlfn.XLOOKUP(G22,'Budget Worksheet'!$B$5:$B$234,'Budget Worksheet'!$S$5:$S$234,0)</f>
        <v>0</v>
      </c>
      <c r="P22" s="113">
        <f>_xlfn.XLOOKUP(H22,'Budget Worksheet'!$B$5:$B$234,'Budget Worksheet'!$U$5:$U$234,0)</f>
        <v>0</v>
      </c>
      <c r="Q22" s="107" t="e">
        <f>MATCH(G22,'Budget Worksheet'!$B$5:$B$234,0)</f>
        <v>#N/A</v>
      </c>
      <c r="R22" s="112">
        <f t="shared" si="1"/>
        <v>0</v>
      </c>
      <c r="S22" s="108"/>
    </row>
    <row r="23" spans="1:19" x14ac:dyDescent="0.25">
      <c r="A23" s="107">
        <v>20</v>
      </c>
      <c r="B23" s="105" t="s">
        <v>50</v>
      </c>
      <c r="C23" s="105" t="str">
        <f t="shared" si="2"/>
        <v>20</v>
      </c>
      <c r="D23" s="105">
        <v>16600</v>
      </c>
      <c r="E23" s="106" t="s">
        <v>547</v>
      </c>
      <c r="F23" s="107" t="str">
        <f t="shared" si="0"/>
        <v>16600 Construction In Progress</v>
      </c>
      <c r="G23" s="105" t="s">
        <v>195</v>
      </c>
      <c r="H23" s="107" t="s">
        <v>196</v>
      </c>
      <c r="I23" s="112">
        <v>0</v>
      </c>
      <c r="J23" s="113">
        <f>SUMIFS('Budget Worksheet'!$J$5:$J$234,'Budget Worksheet'!$B$5:$B$234,'Master Budget'!G23)</f>
        <v>0</v>
      </c>
      <c r="K23" s="113"/>
      <c r="L23" s="113">
        <f>SUMIFS('Budget Worksheet'!$L$5:$L$234,'Budget Worksheet'!$B$5:$B$234,'Master Budget'!G23)</f>
        <v>0</v>
      </c>
      <c r="M23" s="113">
        <f>_xlfn.XLOOKUP(G23,'Budget Worksheet'!$B$5:$B$234,'Budget Worksheet'!$N$5:$N$234,0)</f>
        <v>0</v>
      </c>
      <c r="N23" s="113">
        <f>_xlfn.XLOOKUP(G23,'Budget Worksheet'!$B$5:$B$234,'Budget Worksheet'!$U$5:$U$234,0)</f>
        <v>0</v>
      </c>
      <c r="O23" s="113">
        <f>_xlfn.XLOOKUP(G23,'Budget Worksheet'!$B$5:$B$234,'Budget Worksheet'!$S$5:$S$234,0)</f>
        <v>0</v>
      </c>
      <c r="P23" s="113">
        <f>_xlfn.XLOOKUP(H23,'Budget Worksheet'!$B$5:$B$234,'Budget Worksheet'!$U$5:$U$234,0)</f>
        <v>0</v>
      </c>
      <c r="Q23" s="107" t="e">
        <f>MATCH(G23,'Budget Worksheet'!$B$5:$B$234,0)</f>
        <v>#N/A</v>
      </c>
      <c r="R23" s="112">
        <f t="shared" si="1"/>
        <v>0</v>
      </c>
      <c r="S23" s="108"/>
    </row>
    <row r="24" spans="1:19" x14ac:dyDescent="0.25">
      <c r="A24" s="107">
        <v>21</v>
      </c>
      <c r="B24" s="105" t="s">
        <v>50</v>
      </c>
      <c r="C24" s="105" t="str">
        <f t="shared" si="2"/>
        <v>20</v>
      </c>
      <c r="D24" s="105">
        <v>16800</v>
      </c>
      <c r="E24" s="106" t="s">
        <v>1038</v>
      </c>
      <c r="F24" s="107" t="str">
        <f t="shared" si="0"/>
        <v>16800 Accumulated Amortization</v>
      </c>
      <c r="G24" s="105" t="s">
        <v>1039</v>
      </c>
      <c r="H24" s="107" t="s">
        <v>1038</v>
      </c>
      <c r="I24" s="112">
        <v>0</v>
      </c>
      <c r="J24" s="113">
        <f>SUMIFS('Budget Worksheet'!$J$5:$J$234,'Budget Worksheet'!$B$5:$B$234,'Master Budget'!G24)</f>
        <v>0</v>
      </c>
      <c r="K24" s="113"/>
      <c r="L24" s="113">
        <f>SUMIFS('Budget Worksheet'!$L$5:$L$234,'Budget Worksheet'!$B$5:$B$234,'Master Budget'!G24)</f>
        <v>0</v>
      </c>
      <c r="M24" s="113">
        <f>_xlfn.XLOOKUP(G24,'Budget Worksheet'!$B$5:$B$234,'Budget Worksheet'!$N$5:$N$234,0)</f>
        <v>0</v>
      </c>
      <c r="N24" s="113">
        <f>_xlfn.XLOOKUP(G24,'Budget Worksheet'!$B$5:$B$234,'Budget Worksheet'!$U$5:$U$234,0)</f>
        <v>0</v>
      </c>
      <c r="O24" s="113">
        <f>_xlfn.XLOOKUP(G24,'Budget Worksheet'!$B$5:$B$234,'Budget Worksheet'!$S$5:$S$234,0)</f>
        <v>0</v>
      </c>
      <c r="P24" s="113">
        <f>_xlfn.XLOOKUP(H24,'Budget Worksheet'!$B$5:$B$234,'Budget Worksheet'!$U$5:$U$234,0)</f>
        <v>0</v>
      </c>
      <c r="Q24" s="107" t="e">
        <f>MATCH(G24,'Budget Worksheet'!$B$5:$B$234,0)</f>
        <v>#N/A</v>
      </c>
      <c r="R24" s="112">
        <f t="shared" si="1"/>
        <v>0</v>
      </c>
      <c r="S24" s="108"/>
    </row>
    <row r="25" spans="1:19" x14ac:dyDescent="0.25">
      <c r="A25" s="107">
        <v>22</v>
      </c>
      <c r="B25" s="105" t="s">
        <v>50</v>
      </c>
      <c r="C25" s="105" t="str">
        <f t="shared" si="2"/>
        <v>20</v>
      </c>
      <c r="D25" s="105">
        <v>16900</v>
      </c>
      <c r="E25" s="106" t="s">
        <v>198</v>
      </c>
      <c r="F25" s="107" t="str">
        <f t="shared" si="0"/>
        <v>16900 Accumulated Depreciation</v>
      </c>
      <c r="G25" s="105" t="s">
        <v>197</v>
      </c>
      <c r="H25" s="107" t="s">
        <v>198</v>
      </c>
      <c r="I25" s="112">
        <v>0</v>
      </c>
      <c r="J25" s="113">
        <f>SUMIFS('Budget Worksheet'!$J$5:$J$234,'Budget Worksheet'!$B$5:$B$234,'Master Budget'!G25)</f>
        <v>0</v>
      </c>
      <c r="K25" s="113"/>
      <c r="L25" s="113">
        <f>SUMIFS('Budget Worksheet'!$L$5:$L$234,'Budget Worksheet'!$B$5:$B$234,'Master Budget'!G25)</f>
        <v>0</v>
      </c>
      <c r="M25" s="113">
        <f>_xlfn.XLOOKUP(G25,'Budget Worksheet'!$B$5:$B$234,'Budget Worksheet'!$N$5:$N$234,0)</f>
        <v>0</v>
      </c>
      <c r="N25" s="113">
        <f>_xlfn.XLOOKUP(G25,'Budget Worksheet'!$B$5:$B$234,'Budget Worksheet'!$U$5:$U$234,0)</f>
        <v>0</v>
      </c>
      <c r="O25" s="113">
        <f>_xlfn.XLOOKUP(G25,'Budget Worksheet'!$B$5:$B$234,'Budget Worksheet'!$S$5:$S$234,0)</f>
        <v>0</v>
      </c>
      <c r="P25" s="113">
        <f>_xlfn.XLOOKUP(H25,'Budget Worksheet'!$B$5:$B$234,'Budget Worksheet'!$U$5:$U$234,0)</f>
        <v>0</v>
      </c>
      <c r="Q25" s="107" t="e">
        <f>MATCH(G25,'Budget Worksheet'!$B$5:$B$234,0)</f>
        <v>#N/A</v>
      </c>
      <c r="R25" s="112">
        <f t="shared" si="1"/>
        <v>0</v>
      </c>
      <c r="S25" s="108"/>
    </row>
    <row r="26" spans="1:19" x14ac:dyDescent="0.25">
      <c r="A26" s="107">
        <v>23</v>
      </c>
      <c r="B26" s="105" t="s">
        <v>50</v>
      </c>
      <c r="C26" s="105" t="str">
        <f t="shared" si="2"/>
        <v>20</v>
      </c>
      <c r="D26" s="105">
        <v>17000</v>
      </c>
      <c r="E26" s="106" t="s">
        <v>64</v>
      </c>
      <c r="F26" s="107" t="str">
        <f t="shared" si="0"/>
        <v>17000 Net Pension Asset</v>
      </c>
      <c r="G26" s="105" t="s">
        <v>199</v>
      </c>
      <c r="H26" s="107" t="s">
        <v>64</v>
      </c>
      <c r="I26" s="112">
        <v>0</v>
      </c>
      <c r="J26" s="113">
        <f>SUMIFS('Budget Worksheet'!$J$5:$J$234,'Budget Worksheet'!$B$5:$B$234,'Master Budget'!G26)</f>
        <v>0</v>
      </c>
      <c r="K26" s="113"/>
      <c r="L26" s="113">
        <f>SUMIFS('Budget Worksheet'!$L$5:$L$234,'Budget Worksheet'!$B$5:$B$234,'Master Budget'!G26)</f>
        <v>0</v>
      </c>
      <c r="M26" s="113">
        <f>_xlfn.XLOOKUP(G26,'Budget Worksheet'!$B$5:$B$234,'Budget Worksheet'!$N$5:$N$234,0)</f>
        <v>0</v>
      </c>
      <c r="N26" s="113">
        <f>_xlfn.XLOOKUP(G26,'Budget Worksheet'!$B$5:$B$234,'Budget Worksheet'!$U$5:$U$234,0)</f>
        <v>0</v>
      </c>
      <c r="O26" s="113">
        <f>_xlfn.XLOOKUP(G26,'Budget Worksheet'!$B$5:$B$234,'Budget Worksheet'!$S$5:$S$234,0)</f>
        <v>0</v>
      </c>
      <c r="P26" s="113">
        <f>_xlfn.XLOOKUP(H26,'Budget Worksheet'!$B$5:$B$234,'Budget Worksheet'!$U$5:$U$234,0)</f>
        <v>0</v>
      </c>
      <c r="Q26" s="107" t="e">
        <f>MATCH(G26,'Budget Worksheet'!$B$5:$B$234,0)</f>
        <v>#N/A</v>
      </c>
      <c r="R26" s="112">
        <f t="shared" si="1"/>
        <v>0</v>
      </c>
      <c r="S26" s="108"/>
    </row>
    <row r="27" spans="1:19" x14ac:dyDescent="0.25">
      <c r="A27" s="107">
        <v>24</v>
      </c>
      <c r="B27" s="105" t="s">
        <v>50</v>
      </c>
      <c r="C27" s="105" t="str">
        <f t="shared" si="2"/>
        <v>20</v>
      </c>
      <c r="D27" s="105">
        <v>17010</v>
      </c>
      <c r="E27" s="106" t="s">
        <v>66</v>
      </c>
      <c r="F27" s="107" t="str">
        <f t="shared" si="0"/>
        <v>17010 Deferred Outflows - Pensions</v>
      </c>
      <c r="G27" s="105" t="s">
        <v>200</v>
      </c>
      <c r="H27" s="107" t="s">
        <v>201</v>
      </c>
      <c r="I27" s="112">
        <v>0</v>
      </c>
      <c r="J27" s="113">
        <f>SUMIFS('Budget Worksheet'!$J$5:$J$234,'Budget Worksheet'!$B$5:$B$234,'Master Budget'!G27)</f>
        <v>0</v>
      </c>
      <c r="K27" s="113"/>
      <c r="L27" s="113">
        <f>SUMIFS('Budget Worksheet'!$L$5:$L$234,'Budget Worksheet'!$B$5:$B$234,'Master Budget'!G27)</f>
        <v>0</v>
      </c>
      <c r="M27" s="113">
        <f>_xlfn.XLOOKUP(G27,'Budget Worksheet'!$B$5:$B$234,'Budget Worksheet'!$N$5:$N$234,0)</f>
        <v>0</v>
      </c>
      <c r="N27" s="113">
        <f>_xlfn.XLOOKUP(G27,'Budget Worksheet'!$B$5:$B$234,'Budget Worksheet'!$U$5:$U$234,0)</f>
        <v>0</v>
      </c>
      <c r="O27" s="113">
        <f>_xlfn.XLOOKUP(G27,'Budget Worksheet'!$B$5:$B$234,'Budget Worksheet'!$S$5:$S$234,0)</f>
        <v>0</v>
      </c>
      <c r="P27" s="113">
        <f>_xlfn.XLOOKUP(H27,'Budget Worksheet'!$B$5:$B$234,'Budget Worksheet'!$U$5:$U$234,0)</f>
        <v>0</v>
      </c>
      <c r="Q27" s="107" t="e">
        <f>MATCH(G27,'Budget Worksheet'!$B$5:$B$234,0)</f>
        <v>#N/A</v>
      </c>
      <c r="R27" s="112">
        <f t="shared" si="1"/>
        <v>0</v>
      </c>
      <c r="S27" s="108"/>
    </row>
    <row r="28" spans="1:19" x14ac:dyDescent="0.25">
      <c r="A28" s="107">
        <v>25</v>
      </c>
      <c r="B28" s="105" t="s">
        <v>50</v>
      </c>
      <c r="C28" s="105" t="str">
        <f t="shared" si="2"/>
        <v>20</v>
      </c>
      <c r="D28" s="105">
        <v>17010</v>
      </c>
      <c r="E28" s="106" t="s">
        <v>66</v>
      </c>
      <c r="F28" s="107" t="str">
        <f t="shared" si="0"/>
        <v>17010 Deferred Outflows - Pensions</v>
      </c>
      <c r="G28" s="105" t="s">
        <v>202</v>
      </c>
      <c r="H28" s="107" t="s">
        <v>68</v>
      </c>
      <c r="I28" s="112">
        <v>0</v>
      </c>
      <c r="J28" s="113">
        <f>SUMIFS('Budget Worksheet'!$J$5:$J$234,'Budget Worksheet'!$B$5:$B$234,'Master Budget'!G28)</f>
        <v>0</v>
      </c>
      <c r="K28" s="113"/>
      <c r="L28" s="113">
        <f>SUMIFS('Budget Worksheet'!$L$5:$L$234,'Budget Worksheet'!$B$5:$B$234,'Master Budget'!G28)</f>
        <v>0</v>
      </c>
      <c r="M28" s="113">
        <f>_xlfn.XLOOKUP(G28,'Budget Worksheet'!$B$5:$B$234,'Budget Worksheet'!$N$5:$N$234,0)</f>
        <v>0</v>
      </c>
      <c r="N28" s="113">
        <f>_xlfn.XLOOKUP(G28,'Budget Worksheet'!$B$5:$B$234,'Budget Worksheet'!$U$5:$U$234,0)</f>
        <v>0</v>
      </c>
      <c r="O28" s="113">
        <f>_xlfn.XLOOKUP(G28,'Budget Worksheet'!$B$5:$B$234,'Budget Worksheet'!$S$5:$S$234,0)</f>
        <v>0</v>
      </c>
      <c r="P28" s="113">
        <f>_xlfn.XLOOKUP(H28,'Budget Worksheet'!$B$5:$B$234,'Budget Worksheet'!$U$5:$U$234,0)</f>
        <v>0</v>
      </c>
      <c r="Q28" s="107" t="e">
        <f>MATCH(G28,'Budget Worksheet'!$B$5:$B$234,0)</f>
        <v>#N/A</v>
      </c>
      <c r="R28" s="112">
        <f t="shared" si="1"/>
        <v>0</v>
      </c>
      <c r="S28" s="108"/>
    </row>
    <row r="29" spans="1:19" x14ac:dyDescent="0.25">
      <c r="A29" s="107">
        <v>26</v>
      </c>
      <c r="B29" s="105" t="s">
        <v>71</v>
      </c>
      <c r="C29" s="105" t="str">
        <f t="shared" si="2"/>
        <v>20</v>
      </c>
      <c r="D29" s="105">
        <v>21100</v>
      </c>
      <c r="E29" s="106" t="s">
        <v>70</v>
      </c>
      <c r="F29" s="107" t="str">
        <f t="shared" si="0"/>
        <v>21100 Accounts Payable</v>
      </c>
      <c r="G29" s="105" t="s">
        <v>203</v>
      </c>
      <c r="H29" s="107" t="s">
        <v>70</v>
      </c>
      <c r="I29" s="112">
        <v>0</v>
      </c>
      <c r="J29" s="113">
        <f>SUMIFS('Budget Worksheet'!$J$5:$J$234,'Budget Worksheet'!$B$5:$B$234,'Master Budget'!G29)</f>
        <v>0</v>
      </c>
      <c r="K29" s="113"/>
      <c r="L29" s="113">
        <f>SUMIFS('Budget Worksheet'!$L$5:$L$234,'Budget Worksheet'!$B$5:$B$234,'Master Budget'!G29)</f>
        <v>0</v>
      </c>
      <c r="M29" s="113">
        <f>_xlfn.XLOOKUP(G29,'Budget Worksheet'!$B$5:$B$234,'Budget Worksheet'!$N$5:$N$234,0)</f>
        <v>0</v>
      </c>
      <c r="N29" s="113">
        <f>_xlfn.XLOOKUP(G29,'Budget Worksheet'!$B$5:$B$234,'Budget Worksheet'!$U$5:$U$234,0)</f>
        <v>0</v>
      </c>
      <c r="O29" s="113">
        <f>_xlfn.XLOOKUP(G29,'Budget Worksheet'!$B$5:$B$234,'Budget Worksheet'!$S$5:$S$234,0)</f>
        <v>0</v>
      </c>
      <c r="P29" s="113">
        <f>_xlfn.XLOOKUP(H29,'Budget Worksheet'!$B$5:$B$234,'Budget Worksheet'!$U$5:$U$234,0)</f>
        <v>0</v>
      </c>
      <c r="Q29" s="107" t="e">
        <f>MATCH(G29,'Budget Worksheet'!$B$5:$B$234,0)</f>
        <v>#N/A</v>
      </c>
      <c r="R29" s="112">
        <f t="shared" si="1"/>
        <v>0</v>
      </c>
      <c r="S29" s="108"/>
    </row>
    <row r="30" spans="1:19" x14ac:dyDescent="0.25">
      <c r="A30" s="107">
        <v>27</v>
      </c>
      <c r="B30" s="105" t="s">
        <v>71</v>
      </c>
      <c r="C30" s="105" t="str">
        <f t="shared" si="2"/>
        <v>20</v>
      </c>
      <c r="D30" s="105">
        <v>22200</v>
      </c>
      <c r="E30" s="106" t="s">
        <v>1040</v>
      </c>
      <c r="F30" s="107" t="str">
        <f t="shared" si="0"/>
        <v>22200 Accrued Expenses</v>
      </c>
      <c r="G30" s="105" t="s">
        <v>206</v>
      </c>
      <c r="H30" s="107" t="s">
        <v>73</v>
      </c>
      <c r="I30" s="112">
        <v>0</v>
      </c>
      <c r="J30" s="113">
        <f>SUMIFS('Budget Worksheet'!$J$5:$J$234,'Budget Worksheet'!$B$5:$B$234,'Master Budget'!G30)</f>
        <v>0</v>
      </c>
      <c r="K30" s="113"/>
      <c r="L30" s="113">
        <f>SUMIFS('Budget Worksheet'!$L$5:$L$234,'Budget Worksheet'!$B$5:$B$234,'Master Budget'!G30)</f>
        <v>0</v>
      </c>
      <c r="M30" s="113">
        <f>_xlfn.XLOOKUP(G30,'Budget Worksheet'!$B$5:$B$234,'Budget Worksheet'!$N$5:$N$234,0)</f>
        <v>0</v>
      </c>
      <c r="N30" s="113">
        <f>_xlfn.XLOOKUP(G30,'Budget Worksheet'!$B$5:$B$234,'Budget Worksheet'!$U$5:$U$234,0)</f>
        <v>0</v>
      </c>
      <c r="O30" s="113">
        <f>_xlfn.XLOOKUP(G30,'Budget Worksheet'!$B$5:$B$234,'Budget Worksheet'!$S$5:$S$234,0)</f>
        <v>0</v>
      </c>
      <c r="P30" s="113">
        <f>_xlfn.XLOOKUP(H30,'Budget Worksheet'!$B$5:$B$234,'Budget Worksheet'!$U$5:$U$234,0)</f>
        <v>0</v>
      </c>
      <c r="Q30" s="107" t="e">
        <f>MATCH(G30,'Budget Worksheet'!$B$5:$B$234,0)</f>
        <v>#N/A</v>
      </c>
      <c r="R30" s="112">
        <f t="shared" si="1"/>
        <v>0</v>
      </c>
      <c r="S30" s="108"/>
    </row>
    <row r="31" spans="1:19" x14ac:dyDescent="0.25">
      <c r="A31" s="107">
        <v>28</v>
      </c>
      <c r="B31" s="105" t="s">
        <v>71</v>
      </c>
      <c r="C31" s="105" t="str">
        <f t="shared" si="2"/>
        <v>20</v>
      </c>
      <c r="D31" s="105">
        <v>22200</v>
      </c>
      <c r="E31" s="106" t="s">
        <v>1040</v>
      </c>
      <c r="F31" s="107" t="str">
        <f t="shared" si="0"/>
        <v>22200 Accrued Expenses</v>
      </c>
      <c r="G31" s="105" t="s">
        <v>207</v>
      </c>
      <c r="H31" s="107" t="s">
        <v>208</v>
      </c>
      <c r="I31" s="112">
        <v>0</v>
      </c>
      <c r="J31" s="113">
        <f>SUMIFS('Budget Worksheet'!$J$5:$J$234,'Budget Worksheet'!$B$5:$B$234,'Master Budget'!G31)</f>
        <v>0</v>
      </c>
      <c r="K31" s="113"/>
      <c r="L31" s="113">
        <f>SUMIFS('Budget Worksheet'!$L$5:$L$234,'Budget Worksheet'!$B$5:$B$234,'Master Budget'!G31)</f>
        <v>0</v>
      </c>
      <c r="M31" s="113">
        <f>_xlfn.XLOOKUP(G31,'Budget Worksheet'!$B$5:$B$234,'Budget Worksheet'!$N$5:$N$234,0)</f>
        <v>0</v>
      </c>
      <c r="N31" s="113">
        <f>_xlfn.XLOOKUP(G31,'Budget Worksheet'!$B$5:$B$234,'Budget Worksheet'!$U$5:$U$234,0)</f>
        <v>0</v>
      </c>
      <c r="O31" s="113">
        <f>_xlfn.XLOOKUP(G31,'Budget Worksheet'!$B$5:$B$234,'Budget Worksheet'!$S$5:$S$234,0)</f>
        <v>0</v>
      </c>
      <c r="P31" s="113">
        <f>_xlfn.XLOOKUP(H31,'Budget Worksheet'!$B$5:$B$234,'Budget Worksheet'!$U$5:$U$234,0)</f>
        <v>0</v>
      </c>
      <c r="Q31" s="107" t="e">
        <f>MATCH(G31,'Budget Worksheet'!$B$5:$B$234,0)</f>
        <v>#N/A</v>
      </c>
      <c r="R31" s="112">
        <f t="shared" si="1"/>
        <v>0</v>
      </c>
      <c r="S31" s="108"/>
    </row>
    <row r="32" spans="1:19" x14ac:dyDescent="0.25">
      <c r="A32" s="107">
        <v>29</v>
      </c>
      <c r="B32" s="105" t="s">
        <v>71</v>
      </c>
      <c r="C32" s="105" t="str">
        <f t="shared" si="2"/>
        <v>20</v>
      </c>
      <c r="D32" s="105">
        <v>22200</v>
      </c>
      <c r="E32" s="106" t="s">
        <v>1040</v>
      </c>
      <c r="F32" s="107" t="str">
        <f t="shared" si="0"/>
        <v>22200 Accrued Expenses</v>
      </c>
      <c r="G32" s="105" t="s">
        <v>209</v>
      </c>
      <c r="H32" s="107" t="s">
        <v>210</v>
      </c>
      <c r="I32" s="112">
        <v>0</v>
      </c>
      <c r="J32" s="113">
        <f>SUMIFS('Budget Worksheet'!$J$5:$J$234,'Budget Worksheet'!$B$5:$B$234,'Master Budget'!G32)</f>
        <v>0</v>
      </c>
      <c r="K32" s="113"/>
      <c r="L32" s="113">
        <f>SUMIFS('Budget Worksheet'!$L$5:$L$234,'Budget Worksheet'!$B$5:$B$234,'Master Budget'!G32)</f>
        <v>0</v>
      </c>
      <c r="M32" s="113">
        <f>_xlfn.XLOOKUP(G32,'Budget Worksheet'!$B$5:$B$234,'Budget Worksheet'!$N$5:$N$234,0)</f>
        <v>0</v>
      </c>
      <c r="N32" s="113">
        <f>_xlfn.XLOOKUP(G32,'Budget Worksheet'!$B$5:$B$234,'Budget Worksheet'!$U$5:$U$234,0)</f>
        <v>0</v>
      </c>
      <c r="O32" s="113">
        <f>_xlfn.XLOOKUP(G32,'Budget Worksheet'!$B$4:$B$234,'Budget Worksheet'!$S$4:$S$234,0)</f>
        <v>0</v>
      </c>
      <c r="P32" s="113">
        <f>_xlfn.XLOOKUP(G32,'Budget Worksheet'!$B$4:$B$234,'Budget Worksheet'!$U$4:$U$234,0)</f>
        <v>0</v>
      </c>
      <c r="Q32" s="107" t="e">
        <f>MATCH(G32,'Budget Worksheet'!$B$5:$B$234,0)</f>
        <v>#N/A</v>
      </c>
      <c r="R32" s="112">
        <f t="shared" si="1"/>
        <v>0</v>
      </c>
      <c r="S32" s="108"/>
    </row>
    <row r="33" spans="1:19" x14ac:dyDescent="0.25">
      <c r="A33" s="107">
        <v>30</v>
      </c>
      <c r="B33" s="105" t="s">
        <v>71</v>
      </c>
      <c r="C33" s="105" t="str">
        <f t="shared" si="2"/>
        <v>20</v>
      </c>
      <c r="D33" s="105">
        <v>28560</v>
      </c>
      <c r="E33" s="106" t="s">
        <v>79</v>
      </c>
      <c r="F33" s="107" t="str">
        <f t="shared" si="0"/>
        <v>28560 Net Pension Liability</v>
      </c>
      <c r="G33" s="105" t="s">
        <v>211</v>
      </c>
      <c r="H33" s="107" t="s">
        <v>79</v>
      </c>
      <c r="I33" s="112">
        <v>0</v>
      </c>
      <c r="J33" s="113">
        <f>SUMIFS('Budget Worksheet'!$J$5:$J$234,'Budget Worksheet'!$B$5:$B$234,'Master Budget'!G33)</f>
        <v>0</v>
      </c>
      <c r="K33" s="113"/>
      <c r="L33" s="113">
        <f>SUMIFS('Budget Worksheet'!$L$5:$L$234,'Budget Worksheet'!$B$5:$B$234,'Master Budget'!G33)</f>
        <v>0</v>
      </c>
      <c r="M33" s="113">
        <f>_xlfn.XLOOKUP(G33,'Budget Worksheet'!$B$5:$B$234,'Budget Worksheet'!$N$5:$N$234,0)</f>
        <v>0</v>
      </c>
      <c r="N33" s="113">
        <f>_xlfn.XLOOKUP(G33,'Budget Worksheet'!$B$5:$B$234,'Budget Worksheet'!$U$5:$U$234,0)</f>
        <v>0</v>
      </c>
      <c r="O33" s="113">
        <f>_xlfn.XLOOKUP(G33,'Budget Worksheet'!$B$4:$B$234,'Budget Worksheet'!$S$4:$S$234,0)</f>
        <v>0</v>
      </c>
      <c r="P33" s="113">
        <f>_xlfn.XLOOKUP(G33,'Budget Worksheet'!$B$4:$B$234,'Budget Worksheet'!$U$4:$U$234,0)</f>
        <v>0</v>
      </c>
      <c r="Q33" s="107" t="e">
        <f>MATCH(G33,'Budget Worksheet'!$B$5:$B$234,0)</f>
        <v>#N/A</v>
      </c>
      <c r="R33" s="112">
        <f t="shared" si="1"/>
        <v>0</v>
      </c>
      <c r="S33" s="108"/>
    </row>
    <row r="34" spans="1:19" x14ac:dyDescent="0.25">
      <c r="A34" s="107">
        <v>31</v>
      </c>
      <c r="B34" s="105" t="s">
        <v>71</v>
      </c>
      <c r="C34" s="105" t="str">
        <f t="shared" si="2"/>
        <v>20</v>
      </c>
      <c r="D34" s="105">
        <v>22520</v>
      </c>
      <c r="E34" s="106" t="s">
        <v>1041</v>
      </c>
      <c r="F34" s="107" t="str">
        <f t="shared" si="0"/>
        <v>22520 Deferred inflows</v>
      </c>
      <c r="G34" s="105" t="s">
        <v>212</v>
      </c>
      <c r="H34" s="107" t="s">
        <v>213</v>
      </c>
      <c r="I34" s="112">
        <v>0</v>
      </c>
      <c r="J34" s="113">
        <f>SUMIFS('Budget Worksheet'!$J$5:$J$234,'Budget Worksheet'!$B$5:$B$234,'Master Budget'!G34)</f>
        <v>0</v>
      </c>
      <c r="K34" s="113"/>
      <c r="L34" s="113">
        <f>SUMIFS('Budget Worksheet'!$L$5:$L$234,'Budget Worksheet'!$B$5:$B$234,'Master Budget'!G34)</f>
        <v>0</v>
      </c>
      <c r="M34" s="113">
        <f>_xlfn.XLOOKUP(G34,'Budget Worksheet'!$B$5:$B$234,'Budget Worksheet'!$N$5:$N$234,0)</f>
        <v>0</v>
      </c>
      <c r="N34" s="113">
        <f>_xlfn.XLOOKUP(G34,'Budget Worksheet'!$B$5:$B$234,'Budget Worksheet'!$U$5:$U$234,0)</f>
        <v>0</v>
      </c>
      <c r="O34" s="113">
        <f>_xlfn.XLOOKUP(G34,'Budget Worksheet'!$B$4:$B$234,'Budget Worksheet'!$S$4:$S$234,0)</f>
        <v>0</v>
      </c>
      <c r="P34" s="113">
        <f>_xlfn.XLOOKUP(G34,'Budget Worksheet'!$B$4:$B$234,'Budget Worksheet'!$U$4:$U$234,0)</f>
        <v>0</v>
      </c>
      <c r="Q34" s="107" t="e">
        <f>MATCH(G34,'Budget Worksheet'!$B$5:$B$234,0)</f>
        <v>#N/A</v>
      </c>
      <c r="R34" s="112">
        <f t="shared" si="1"/>
        <v>0</v>
      </c>
      <c r="S34" s="108"/>
    </row>
    <row r="35" spans="1:19" x14ac:dyDescent="0.25">
      <c r="A35" s="107">
        <v>32</v>
      </c>
      <c r="B35" s="105" t="s">
        <v>71</v>
      </c>
      <c r="C35" s="105" t="str">
        <f t="shared" si="2"/>
        <v>20</v>
      </c>
      <c r="D35" s="105">
        <v>22200</v>
      </c>
      <c r="E35" s="106" t="s">
        <v>1040</v>
      </c>
      <c r="F35" s="107" t="str">
        <f t="shared" si="0"/>
        <v>22200 Accrued Expenses</v>
      </c>
      <c r="G35" s="105" t="s">
        <v>214</v>
      </c>
      <c r="H35" s="107" t="s">
        <v>215</v>
      </c>
      <c r="I35" s="112">
        <v>0</v>
      </c>
      <c r="J35" s="113">
        <f>SUMIFS('Budget Worksheet'!$J$5:$J$234,'Budget Worksheet'!$B$5:$B$234,'Master Budget'!G35)</f>
        <v>0</v>
      </c>
      <c r="K35" s="113"/>
      <c r="L35" s="113">
        <f>SUMIFS('Budget Worksheet'!$L$5:$L$234,'Budget Worksheet'!$B$5:$B$234,'Master Budget'!G35)</f>
        <v>0</v>
      </c>
      <c r="M35" s="113">
        <f>_xlfn.XLOOKUP(G35,'Budget Worksheet'!$B$5:$B$234,'Budget Worksheet'!$N$5:$N$234,0)</f>
        <v>0</v>
      </c>
      <c r="N35" s="113">
        <f>_xlfn.XLOOKUP(G35,'Budget Worksheet'!$B$5:$B$234,'Budget Worksheet'!$U$5:$U$234,0)</f>
        <v>0</v>
      </c>
      <c r="O35" s="113">
        <f>_xlfn.XLOOKUP(G35,'Budget Worksheet'!$B$4:$B$234,'Budget Worksheet'!$S$4:$S$234,0)</f>
        <v>0</v>
      </c>
      <c r="P35" s="113">
        <f>_xlfn.XLOOKUP(G35,'Budget Worksheet'!$B$4:$B$234,'Budget Worksheet'!$U$4:$U$234,0)</f>
        <v>0</v>
      </c>
      <c r="Q35" s="107" t="e">
        <f>MATCH(G35,'Budget Worksheet'!$B$5:$B$234,0)</f>
        <v>#N/A</v>
      </c>
      <c r="R35" s="112">
        <f t="shared" si="1"/>
        <v>0</v>
      </c>
      <c r="S35" s="108"/>
    </row>
    <row r="36" spans="1:19" x14ac:dyDescent="0.25">
      <c r="A36" s="107">
        <v>33</v>
      </c>
      <c r="B36" s="105" t="s">
        <v>71</v>
      </c>
      <c r="C36" s="105" t="str">
        <f t="shared" si="2"/>
        <v>20</v>
      </c>
      <c r="D36" s="105">
        <v>22200</v>
      </c>
      <c r="E36" s="106" t="s">
        <v>1040</v>
      </c>
      <c r="F36" s="107" t="str">
        <f t="shared" ref="F36:F67" si="3">D36&amp;" "&amp;E36</f>
        <v>22200 Accrued Expenses</v>
      </c>
      <c r="G36" s="105" t="s">
        <v>216</v>
      </c>
      <c r="H36" s="107" t="s">
        <v>217</v>
      </c>
      <c r="I36" s="112">
        <v>0</v>
      </c>
      <c r="J36" s="113">
        <f>SUMIFS('Budget Worksheet'!$J$5:$J$234,'Budget Worksheet'!$B$5:$B$234,'Master Budget'!G36)</f>
        <v>0</v>
      </c>
      <c r="K36" s="113"/>
      <c r="L36" s="113">
        <f>SUMIFS('Budget Worksheet'!$L$5:$L$234,'Budget Worksheet'!$B$5:$B$234,'Master Budget'!G36)</f>
        <v>0</v>
      </c>
      <c r="M36" s="113">
        <f>_xlfn.XLOOKUP(G36,'Budget Worksheet'!$B$5:$B$234,'Budget Worksheet'!$N$5:$N$234,0)</f>
        <v>0</v>
      </c>
      <c r="N36" s="113">
        <f>_xlfn.XLOOKUP(G36,'Budget Worksheet'!$B$5:$B$234,'Budget Worksheet'!$U$5:$U$234,0)</f>
        <v>0</v>
      </c>
      <c r="O36" s="113">
        <f>_xlfn.XLOOKUP(G36,'Budget Worksheet'!$B$4:$B$234,'Budget Worksheet'!$S$4:$S$234,0)</f>
        <v>0</v>
      </c>
      <c r="P36" s="113">
        <f>_xlfn.XLOOKUP(G36,'Budget Worksheet'!$B$4:$B$234,'Budget Worksheet'!$U$4:$U$234,0)</f>
        <v>0</v>
      </c>
      <c r="Q36" s="107" t="e">
        <f>MATCH(G36,'Budget Worksheet'!$B$5:$B$234,0)</f>
        <v>#N/A</v>
      </c>
      <c r="R36" s="112">
        <f t="shared" si="1"/>
        <v>0</v>
      </c>
      <c r="S36" s="108"/>
    </row>
    <row r="37" spans="1:19" x14ac:dyDescent="0.25">
      <c r="A37" s="107">
        <v>34</v>
      </c>
      <c r="B37" s="105" t="s">
        <v>71</v>
      </c>
      <c r="C37" s="105" t="str">
        <f t="shared" si="2"/>
        <v>20</v>
      </c>
      <c r="D37" s="105">
        <v>22200</v>
      </c>
      <c r="E37" s="106" t="s">
        <v>1040</v>
      </c>
      <c r="F37" s="107" t="str">
        <f t="shared" si="3"/>
        <v>22200 Accrued Expenses</v>
      </c>
      <c r="G37" s="105" t="s">
        <v>218</v>
      </c>
      <c r="H37" s="107" t="s">
        <v>219</v>
      </c>
      <c r="I37" s="112">
        <v>0</v>
      </c>
      <c r="J37" s="113">
        <f>SUMIFS('Budget Worksheet'!$J$5:$J$234,'Budget Worksheet'!$B$5:$B$234,'Master Budget'!G37)</f>
        <v>0</v>
      </c>
      <c r="K37" s="113"/>
      <c r="L37" s="113">
        <f>SUMIFS('Budget Worksheet'!$L$5:$L$234,'Budget Worksheet'!$B$5:$B$234,'Master Budget'!G37)</f>
        <v>0</v>
      </c>
      <c r="M37" s="113">
        <f>_xlfn.XLOOKUP(G37,'Budget Worksheet'!$B$5:$B$234,'Budget Worksheet'!$N$5:$N$234,0)</f>
        <v>0</v>
      </c>
      <c r="N37" s="113">
        <f>_xlfn.XLOOKUP(G37,'Budget Worksheet'!$B$5:$B$234,'Budget Worksheet'!$U$5:$U$234,0)</f>
        <v>0</v>
      </c>
      <c r="O37" s="113">
        <f>_xlfn.XLOOKUP(G37,'Budget Worksheet'!$B$4:$B$234,'Budget Worksheet'!$S$4:$S$234,0)</f>
        <v>0</v>
      </c>
      <c r="P37" s="113">
        <f>_xlfn.XLOOKUP(G37,'Budget Worksheet'!$B$4:$B$234,'Budget Worksheet'!$U$4:$U$234,0)</f>
        <v>0</v>
      </c>
      <c r="Q37" s="107" t="e">
        <f>MATCH(G37,'Budget Worksheet'!$B$5:$B$234,0)</f>
        <v>#N/A</v>
      </c>
      <c r="R37" s="112">
        <f t="shared" si="1"/>
        <v>0</v>
      </c>
      <c r="S37" s="108"/>
    </row>
    <row r="38" spans="1:19" x14ac:dyDescent="0.25">
      <c r="A38" s="107">
        <v>35</v>
      </c>
      <c r="B38" s="105" t="s">
        <v>71</v>
      </c>
      <c r="C38" s="105" t="str">
        <f t="shared" si="2"/>
        <v>20</v>
      </c>
      <c r="D38" s="105">
        <v>23000</v>
      </c>
      <c r="E38" s="106" t="s">
        <v>221</v>
      </c>
      <c r="F38" s="107" t="str">
        <f t="shared" si="3"/>
        <v>23000 Unearned Revenue</v>
      </c>
      <c r="G38" s="105" t="s">
        <v>220</v>
      </c>
      <c r="H38" s="107" t="s">
        <v>221</v>
      </c>
      <c r="I38" s="112">
        <v>0</v>
      </c>
      <c r="J38" s="113">
        <f>SUMIFS('Budget Worksheet'!$J$5:$J$234,'Budget Worksheet'!$B$5:$B$234,'Master Budget'!G38)</f>
        <v>0</v>
      </c>
      <c r="K38" s="113"/>
      <c r="L38" s="113">
        <f>SUMIFS('Budget Worksheet'!$L$5:$L$234,'Budget Worksheet'!$B$5:$B$234,'Master Budget'!G38)</f>
        <v>0</v>
      </c>
      <c r="M38" s="113">
        <f>_xlfn.XLOOKUP(G38,'Budget Worksheet'!$B$5:$B$234,'Budget Worksheet'!$N$5:$N$234,0)</f>
        <v>0</v>
      </c>
      <c r="N38" s="113">
        <f>_xlfn.XLOOKUP(G38,'Budget Worksheet'!$B$5:$B$234,'Budget Worksheet'!$U$5:$U$234,0)</f>
        <v>0</v>
      </c>
      <c r="O38" s="113">
        <f>_xlfn.XLOOKUP(G38,'Budget Worksheet'!$B$4:$B$234,'Budget Worksheet'!$S$4:$S$234,0)</f>
        <v>0</v>
      </c>
      <c r="P38" s="113">
        <f>_xlfn.XLOOKUP(G38,'Budget Worksheet'!$B$4:$B$234,'Budget Worksheet'!$U$4:$U$234,0)</f>
        <v>0</v>
      </c>
      <c r="Q38" s="107" t="e">
        <f>MATCH(G38,'Budget Worksheet'!$B$5:$B$234,0)</f>
        <v>#N/A</v>
      </c>
      <c r="R38" s="112">
        <f t="shared" si="1"/>
        <v>0</v>
      </c>
      <c r="S38" s="108"/>
    </row>
    <row r="39" spans="1:19" x14ac:dyDescent="0.25">
      <c r="A39" s="107">
        <v>36</v>
      </c>
      <c r="B39" s="105" t="s">
        <v>71</v>
      </c>
      <c r="C39" s="105" t="str">
        <f t="shared" si="2"/>
        <v>20</v>
      </c>
      <c r="D39" s="105">
        <v>22200</v>
      </c>
      <c r="E39" s="106" t="s">
        <v>1040</v>
      </c>
      <c r="F39" s="107" t="str">
        <f t="shared" si="3"/>
        <v>22200 Accrued Expenses</v>
      </c>
      <c r="G39" s="105" t="s">
        <v>222</v>
      </c>
      <c r="H39" s="107" t="s">
        <v>89</v>
      </c>
      <c r="I39" s="112">
        <v>0</v>
      </c>
      <c r="J39" s="113">
        <f>SUMIFS('Budget Worksheet'!$J$5:$J$234,'Budget Worksheet'!$B$5:$B$234,'Master Budget'!G39)</f>
        <v>0</v>
      </c>
      <c r="K39" s="113"/>
      <c r="L39" s="113">
        <f>SUMIFS('Budget Worksheet'!$L$5:$L$234,'Budget Worksheet'!$B$5:$B$234,'Master Budget'!G39)</f>
        <v>0</v>
      </c>
      <c r="M39" s="113">
        <f>_xlfn.XLOOKUP(G39,'Budget Worksheet'!$B$5:$B$234,'Budget Worksheet'!$N$5:$N$234,0)</f>
        <v>0</v>
      </c>
      <c r="N39" s="113">
        <f>_xlfn.XLOOKUP(G39,'Budget Worksheet'!$B$5:$B$234,'Budget Worksheet'!$U$5:$U$234,0)</f>
        <v>0</v>
      </c>
      <c r="O39" s="113">
        <f>_xlfn.XLOOKUP(G39,'Budget Worksheet'!$B$4:$B$234,'Budget Worksheet'!$S$4:$S$234,0)</f>
        <v>0</v>
      </c>
      <c r="P39" s="113">
        <f>_xlfn.XLOOKUP(G39,'Budget Worksheet'!$B$4:$B$234,'Budget Worksheet'!$U$4:$U$234,0)</f>
        <v>0</v>
      </c>
      <c r="Q39" s="107" t="e">
        <f>MATCH(G39,'Budget Worksheet'!$B$5:$B$234,0)</f>
        <v>#N/A</v>
      </c>
      <c r="R39" s="112">
        <f t="shared" si="1"/>
        <v>0</v>
      </c>
      <c r="S39" s="108"/>
    </row>
    <row r="40" spans="1:19" x14ac:dyDescent="0.25">
      <c r="A40" s="107">
        <v>37</v>
      </c>
      <c r="B40" s="105" t="s">
        <v>71</v>
      </c>
      <c r="C40" s="105" t="str">
        <f t="shared" si="2"/>
        <v>20</v>
      </c>
      <c r="F40" s="107" t="str">
        <f t="shared" si="3"/>
        <v xml:space="preserve"> </v>
      </c>
      <c r="G40" s="105" t="s">
        <v>225</v>
      </c>
      <c r="H40" s="107" t="s">
        <v>91</v>
      </c>
      <c r="I40" s="112">
        <v>0</v>
      </c>
      <c r="J40" s="113">
        <f>SUMIFS('Budget Worksheet'!$J$5:$J$234,'Budget Worksheet'!$B$5:$B$234,'Master Budget'!G40)</f>
        <v>0</v>
      </c>
      <c r="K40" s="113"/>
      <c r="L40" s="113">
        <f>SUMIFS('Budget Worksheet'!$L$5:$L$234,'Budget Worksheet'!$B$5:$B$234,'Master Budget'!G40)</f>
        <v>0</v>
      </c>
      <c r="M40" s="113">
        <f>_xlfn.XLOOKUP(G40,'Budget Worksheet'!$B$5:$B$234,'Budget Worksheet'!$N$5:$N$234,0)</f>
        <v>0</v>
      </c>
      <c r="N40" s="113">
        <f>_xlfn.XLOOKUP(G40,'Budget Worksheet'!$B$5:$B$234,'Budget Worksheet'!$U$5:$U$234,0)</f>
        <v>0</v>
      </c>
      <c r="O40" s="113">
        <f>_xlfn.XLOOKUP(G40,'Budget Worksheet'!$B$4:$B$234,'Budget Worksheet'!$S$4:$S$234,0)</f>
        <v>0</v>
      </c>
      <c r="P40" s="113">
        <f>_xlfn.XLOOKUP(G40,'Budget Worksheet'!$B$4:$B$234,'Budget Worksheet'!$U$4:$U$234,0)</f>
        <v>0</v>
      </c>
      <c r="Q40" s="107" t="e">
        <f>MATCH(G40,'Budget Worksheet'!$B$5:$B$234,0)</f>
        <v>#N/A</v>
      </c>
      <c r="R40" s="112">
        <f t="shared" si="1"/>
        <v>0</v>
      </c>
      <c r="S40" s="108"/>
    </row>
    <row r="41" spans="1:19" x14ac:dyDescent="0.25">
      <c r="A41" s="107">
        <v>38</v>
      </c>
      <c r="B41" s="105" t="s">
        <v>71</v>
      </c>
      <c r="C41" s="105" t="str">
        <f t="shared" si="2"/>
        <v>20</v>
      </c>
      <c r="D41" s="105">
        <v>28000</v>
      </c>
      <c r="E41" s="106" t="s">
        <v>227</v>
      </c>
      <c r="F41" s="107" t="str">
        <f t="shared" si="3"/>
        <v>28000 Accrued Interest Payable</v>
      </c>
      <c r="G41" s="105" t="s">
        <v>226</v>
      </c>
      <c r="H41" s="107" t="s">
        <v>227</v>
      </c>
      <c r="I41" s="112">
        <v>0</v>
      </c>
      <c r="J41" s="113">
        <f>SUMIFS('Budget Worksheet'!$J$5:$J$234,'Budget Worksheet'!$B$5:$B$234,'Master Budget'!G41)</f>
        <v>0</v>
      </c>
      <c r="K41" s="113"/>
      <c r="L41" s="113">
        <f>SUMIFS('Budget Worksheet'!$L$5:$L$234,'Budget Worksheet'!$B$5:$B$234,'Master Budget'!G41)</f>
        <v>0</v>
      </c>
      <c r="M41" s="113">
        <f>_xlfn.XLOOKUP(G41,'Budget Worksheet'!$B$5:$B$234,'Budget Worksheet'!$N$5:$N$234,0)</f>
        <v>0</v>
      </c>
      <c r="N41" s="113">
        <f>_xlfn.XLOOKUP(G41,'Budget Worksheet'!$B$5:$B$234,'Budget Worksheet'!$U$5:$U$234,0)</f>
        <v>0</v>
      </c>
      <c r="O41" s="113">
        <f>_xlfn.XLOOKUP(G41,'Budget Worksheet'!$B$4:$B$234,'Budget Worksheet'!$S$4:$S$234,0)</f>
        <v>0</v>
      </c>
      <c r="P41" s="113">
        <f>_xlfn.XLOOKUP(G41,'Budget Worksheet'!$B$4:$B$234,'Budget Worksheet'!$U$4:$U$234,0)</f>
        <v>0</v>
      </c>
      <c r="Q41" s="107" t="e">
        <f>MATCH(G41,'Budget Worksheet'!$B$5:$B$234,0)</f>
        <v>#N/A</v>
      </c>
      <c r="R41" s="112">
        <f t="shared" si="1"/>
        <v>0</v>
      </c>
      <c r="S41" s="108"/>
    </row>
    <row r="42" spans="1:19" x14ac:dyDescent="0.25">
      <c r="A42" s="107">
        <v>39</v>
      </c>
      <c r="B42" s="105" t="s">
        <v>71</v>
      </c>
      <c r="C42" s="105" t="str">
        <f t="shared" si="2"/>
        <v>20</v>
      </c>
      <c r="D42" s="105">
        <v>28510</v>
      </c>
      <c r="E42" s="106" t="s">
        <v>1042</v>
      </c>
      <c r="F42" s="107" t="str">
        <f t="shared" si="3"/>
        <v>28510 Notes Payable - Non Current</v>
      </c>
      <c r="G42" s="105" t="s">
        <v>228</v>
      </c>
      <c r="H42" s="107" t="s">
        <v>229</v>
      </c>
      <c r="I42" s="112">
        <v>0</v>
      </c>
      <c r="J42" s="113">
        <f>SUMIFS('Budget Worksheet'!$J$5:$J$234,'Budget Worksheet'!$B$5:$B$234,'Master Budget'!G42)</f>
        <v>0</v>
      </c>
      <c r="K42" s="113"/>
      <c r="L42" s="113">
        <f>SUMIFS('Budget Worksheet'!$L$5:$L$234,'Budget Worksheet'!$B$5:$B$234,'Master Budget'!G42)</f>
        <v>0</v>
      </c>
      <c r="M42" s="113">
        <f>_xlfn.XLOOKUP(G42,'Budget Worksheet'!$B$5:$B$234,'Budget Worksheet'!$N$5:$N$234,0)</f>
        <v>0</v>
      </c>
      <c r="N42" s="113">
        <f>_xlfn.XLOOKUP(G42,'Budget Worksheet'!$B$5:$B$234,'Budget Worksheet'!$U$5:$U$234,0)</f>
        <v>0</v>
      </c>
      <c r="O42" s="113">
        <f>_xlfn.XLOOKUP(G42,'Budget Worksheet'!$B$4:$B$234,'Budget Worksheet'!$S$4:$S$234,0)</f>
        <v>0</v>
      </c>
      <c r="P42" s="113">
        <f>_xlfn.XLOOKUP(G42,'Budget Worksheet'!$B$4:$B$234,'Budget Worksheet'!$U$4:$U$234,0)</f>
        <v>0</v>
      </c>
      <c r="Q42" s="107" t="e">
        <f>MATCH(G42,'Budget Worksheet'!$B$5:$B$234,0)</f>
        <v>#N/A</v>
      </c>
      <c r="R42" s="112">
        <f t="shared" si="1"/>
        <v>0</v>
      </c>
      <c r="S42" s="108"/>
    </row>
    <row r="43" spans="1:19" x14ac:dyDescent="0.25">
      <c r="A43" s="107">
        <v>40</v>
      </c>
      <c r="B43" s="105" t="s">
        <v>71</v>
      </c>
      <c r="C43" s="105" t="str">
        <f t="shared" si="2"/>
        <v>20</v>
      </c>
      <c r="D43" s="105">
        <v>28505</v>
      </c>
      <c r="E43" s="106" t="s">
        <v>1043</v>
      </c>
      <c r="F43" s="107" t="str">
        <f t="shared" si="3"/>
        <v>28505 Notes Payable - Current</v>
      </c>
      <c r="G43" s="105" t="s">
        <v>230</v>
      </c>
      <c r="H43" s="107" t="s">
        <v>231</v>
      </c>
      <c r="I43" s="112">
        <v>0</v>
      </c>
      <c r="J43" s="113">
        <f>SUMIFS('Budget Worksheet'!$J$5:$J$234,'Budget Worksheet'!$B$5:$B$234,'Master Budget'!G43)</f>
        <v>0</v>
      </c>
      <c r="K43" s="113"/>
      <c r="L43" s="113">
        <f>SUMIFS('Budget Worksheet'!$L$5:$L$234,'Budget Worksheet'!$B$5:$B$234,'Master Budget'!G43)</f>
        <v>0</v>
      </c>
      <c r="M43" s="113">
        <f>_xlfn.XLOOKUP(G43,'Budget Worksheet'!$B$5:$B$234,'Budget Worksheet'!$N$5:$N$234,0)</f>
        <v>0</v>
      </c>
      <c r="N43" s="113">
        <f>_xlfn.XLOOKUP(G43,'Budget Worksheet'!$B$5:$B$234,'Budget Worksheet'!$U$5:$U$234,0)</f>
        <v>0</v>
      </c>
      <c r="O43" s="113">
        <f>_xlfn.XLOOKUP(G43,'Budget Worksheet'!$B$4:$B$234,'Budget Worksheet'!$S$4:$S$234,0)</f>
        <v>0</v>
      </c>
      <c r="P43" s="113">
        <f>_xlfn.XLOOKUP(G43,'Budget Worksheet'!$B$4:$B$234,'Budget Worksheet'!$U$4:$U$234,0)</f>
        <v>0</v>
      </c>
      <c r="Q43" s="107" t="e">
        <f>MATCH(G43,'Budget Worksheet'!$B$5:$B$234,0)</f>
        <v>#N/A</v>
      </c>
      <c r="R43" s="112">
        <f t="shared" si="1"/>
        <v>0</v>
      </c>
      <c r="S43" s="108"/>
    </row>
    <row r="44" spans="1:19" x14ac:dyDescent="0.25">
      <c r="A44" s="107">
        <v>41</v>
      </c>
      <c r="B44" s="105" t="s">
        <v>71</v>
      </c>
      <c r="C44" s="105" t="str">
        <f t="shared" si="2"/>
        <v>20</v>
      </c>
      <c r="D44" s="105">
        <v>28520</v>
      </c>
      <c r="E44" s="106" t="s">
        <v>1044</v>
      </c>
      <c r="F44" s="107" t="str">
        <f t="shared" si="3"/>
        <v>28520 Capital Leases Payable  - Non Current</v>
      </c>
      <c r="G44" s="105" t="s">
        <v>232</v>
      </c>
      <c r="H44" s="107" t="s">
        <v>233</v>
      </c>
      <c r="I44" s="112">
        <v>0</v>
      </c>
      <c r="J44" s="113">
        <f>SUMIFS('Budget Worksheet'!$J$5:$J$234,'Budget Worksheet'!$B$5:$B$234,'Master Budget'!G44)</f>
        <v>0</v>
      </c>
      <c r="K44" s="113"/>
      <c r="L44" s="113">
        <f>SUMIFS('Budget Worksheet'!$L$5:$L$234,'Budget Worksheet'!$B$5:$B$234,'Master Budget'!G44)</f>
        <v>0</v>
      </c>
      <c r="M44" s="113">
        <f>_xlfn.XLOOKUP(G44,'Budget Worksheet'!$B$5:$B$234,'Budget Worksheet'!$N$5:$N$234,0)</f>
        <v>0</v>
      </c>
      <c r="N44" s="113">
        <f>_xlfn.XLOOKUP(G44,'Budget Worksheet'!$B$5:$B$234,'Budget Worksheet'!$U$5:$U$234,0)</f>
        <v>0</v>
      </c>
      <c r="O44" s="113">
        <f>_xlfn.XLOOKUP(G44,'Budget Worksheet'!$B$4:$B$234,'Budget Worksheet'!$S$4:$S$234,0)</f>
        <v>0</v>
      </c>
      <c r="P44" s="113">
        <f>_xlfn.XLOOKUP(G44,'Budget Worksheet'!$B$4:$B$234,'Budget Worksheet'!$U$4:$U$234,0)</f>
        <v>0</v>
      </c>
      <c r="Q44" s="107" t="e">
        <f>MATCH(G44,'Budget Worksheet'!$B$5:$B$234,0)</f>
        <v>#N/A</v>
      </c>
      <c r="R44" s="112">
        <f t="shared" si="1"/>
        <v>0</v>
      </c>
      <c r="S44" s="108"/>
    </row>
    <row r="45" spans="1:19" x14ac:dyDescent="0.25">
      <c r="A45" s="107">
        <v>42</v>
      </c>
      <c r="B45" s="105" t="s">
        <v>71</v>
      </c>
      <c r="C45" s="105" t="str">
        <f t="shared" si="2"/>
        <v>20</v>
      </c>
      <c r="D45" s="105">
        <v>28521</v>
      </c>
      <c r="E45" s="106" t="s">
        <v>1045</v>
      </c>
      <c r="F45" s="107" t="str">
        <f t="shared" si="3"/>
        <v>28521 Capital Leases Payable - Current</v>
      </c>
      <c r="G45" s="105" t="s">
        <v>234</v>
      </c>
      <c r="H45" s="107" t="s">
        <v>235</v>
      </c>
      <c r="I45" s="112">
        <v>0</v>
      </c>
      <c r="J45" s="113">
        <f>SUMIFS('Budget Worksheet'!$J$5:$J$234,'Budget Worksheet'!$B$5:$B$234,'Master Budget'!G45)</f>
        <v>0</v>
      </c>
      <c r="K45" s="113"/>
      <c r="L45" s="113">
        <f>SUMIFS('Budget Worksheet'!$L$5:$L$234,'Budget Worksheet'!$B$5:$B$234,'Master Budget'!G45)</f>
        <v>0</v>
      </c>
      <c r="M45" s="113">
        <f>_xlfn.XLOOKUP(G45,'Budget Worksheet'!$B$5:$B$234,'Budget Worksheet'!$N$5:$N$234,0)</f>
        <v>0</v>
      </c>
      <c r="N45" s="113">
        <f>_xlfn.XLOOKUP(G45,'Budget Worksheet'!$B$5:$B$234,'Budget Worksheet'!$U$5:$U$234,0)</f>
        <v>0</v>
      </c>
      <c r="O45" s="113">
        <f>_xlfn.XLOOKUP(G45,'Budget Worksheet'!$B$4:$B$234,'Budget Worksheet'!$S$4:$S$234,0)</f>
        <v>0</v>
      </c>
      <c r="P45" s="113">
        <f>_xlfn.XLOOKUP(G45,'Budget Worksheet'!$B$4:$B$234,'Budget Worksheet'!$U$4:$U$234,0)</f>
        <v>0</v>
      </c>
      <c r="Q45" s="107" t="e">
        <f>MATCH(G45,'Budget Worksheet'!$B$5:$B$234,0)</f>
        <v>#N/A</v>
      </c>
      <c r="R45" s="112">
        <f t="shared" si="1"/>
        <v>0</v>
      </c>
      <c r="S45" s="108"/>
    </row>
    <row r="46" spans="1:19" x14ac:dyDescent="0.25">
      <c r="A46" s="107">
        <v>43</v>
      </c>
      <c r="B46" s="105" t="s">
        <v>71</v>
      </c>
      <c r="C46" s="105" t="str">
        <f t="shared" si="2"/>
        <v>20</v>
      </c>
      <c r="D46" s="105">
        <v>28505</v>
      </c>
      <c r="E46" s="106" t="s">
        <v>1043</v>
      </c>
      <c r="F46" s="107" t="str">
        <f t="shared" si="3"/>
        <v>28505 Notes Payable - Current</v>
      </c>
      <c r="G46" s="105" t="s">
        <v>238</v>
      </c>
      <c r="H46" s="107" t="s">
        <v>235</v>
      </c>
      <c r="I46" s="112">
        <v>0</v>
      </c>
      <c r="J46" s="113">
        <f>SUMIFS('Budget Worksheet'!$J$5:$J$234,'Budget Worksheet'!$B$5:$B$234,'Master Budget'!G46)</f>
        <v>0</v>
      </c>
      <c r="K46" s="113"/>
      <c r="L46" s="113">
        <f>SUMIFS('Budget Worksheet'!$L$5:$L$234,'Budget Worksheet'!$B$5:$B$234,'Master Budget'!G46)</f>
        <v>0</v>
      </c>
      <c r="M46" s="113">
        <f>_xlfn.XLOOKUP(G46,'Budget Worksheet'!$B$5:$B$234,'Budget Worksheet'!$N$5:$N$234,0)</f>
        <v>0</v>
      </c>
      <c r="N46" s="113">
        <f>_xlfn.XLOOKUP(G46,'Budget Worksheet'!$B$5:$B$234,'Budget Worksheet'!$U$5:$U$234,0)</f>
        <v>0</v>
      </c>
      <c r="O46" s="113">
        <f>_xlfn.XLOOKUP(G46,'Budget Worksheet'!$B$4:$B$234,'Budget Worksheet'!$S$4:$S$234,0)</f>
        <v>0</v>
      </c>
      <c r="P46" s="113">
        <f>_xlfn.XLOOKUP(G46,'Budget Worksheet'!$B$4:$B$234,'Budget Worksheet'!$U$4:$U$234,0)</f>
        <v>0</v>
      </c>
      <c r="Q46" s="107" t="e">
        <f>MATCH(G46,'Budget Worksheet'!$B$5:$B$234,0)</f>
        <v>#N/A</v>
      </c>
      <c r="R46" s="112">
        <f t="shared" si="1"/>
        <v>0</v>
      </c>
      <c r="S46" s="108"/>
    </row>
    <row r="47" spans="1:19" x14ac:dyDescent="0.25">
      <c r="A47" s="107">
        <v>44</v>
      </c>
      <c r="B47" s="105" t="s">
        <v>71</v>
      </c>
      <c r="C47" s="105" t="str">
        <f t="shared" si="2"/>
        <v>20</v>
      </c>
      <c r="D47" s="105">
        <v>28540</v>
      </c>
      <c r="E47" s="106" t="s">
        <v>1046</v>
      </c>
      <c r="F47" s="107" t="str">
        <f t="shared" si="3"/>
        <v>28540 Bonds Payable - Non Current</v>
      </c>
      <c r="G47" s="105" t="s">
        <v>239</v>
      </c>
      <c r="H47" s="107" t="s">
        <v>1047</v>
      </c>
      <c r="I47" s="112">
        <v>0</v>
      </c>
      <c r="J47" s="113">
        <f>SUMIFS('Budget Worksheet'!$J$5:$J$234,'Budget Worksheet'!$B$5:$B$234,'Master Budget'!G47)</f>
        <v>0</v>
      </c>
      <c r="K47" s="113"/>
      <c r="L47" s="113">
        <f>SUMIFS('Budget Worksheet'!$L$5:$L$234,'Budget Worksheet'!$B$5:$B$234,'Master Budget'!G47)</f>
        <v>0</v>
      </c>
      <c r="M47" s="113">
        <f>_xlfn.XLOOKUP(G47,'Budget Worksheet'!$B$5:$B$234,'Budget Worksheet'!$N$5:$N$234,0)</f>
        <v>0</v>
      </c>
      <c r="N47" s="113">
        <f>_xlfn.XLOOKUP(G47,'Budget Worksheet'!$B$5:$B$234,'Budget Worksheet'!$U$5:$U$234,0)</f>
        <v>0</v>
      </c>
      <c r="O47" s="113">
        <f>_xlfn.XLOOKUP(G47,'Budget Worksheet'!$B$4:$B$234,'Budget Worksheet'!$S$4:$S$234,0)</f>
        <v>0</v>
      </c>
      <c r="P47" s="113">
        <f>_xlfn.XLOOKUP(G47,'Budget Worksheet'!$B$4:$B$234,'Budget Worksheet'!$U$4:$U$234,0)</f>
        <v>0</v>
      </c>
      <c r="Q47" s="107" t="e">
        <f>MATCH(G47,'Budget Worksheet'!$B$5:$B$234,0)</f>
        <v>#N/A</v>
      </c>
      <c r="R47" s="112">
        <f t="shared" si="1"/>
        <v>0</v>
      </c>
      <c r="S47" s="108"/>
    </row>
    <row r="48" spans="1:19" x14ac:dyDescent="0.25">
      <c r="A48" s="107">
        <v>45</v>
      </c>
      <c r="B48" s="105" t="s">
        <v>71</v>
      </c>
      <c r="C48" s="105" t="str">
        <f t="shared" si="2"/>
        <v>20</v>
      </c>
      <c r="D48" s="105">
        <v>28541</v>
      </c>
      <c r="E48" s="106" t="s">
        <v>1048</v>
      </c>
      <c r="F48" s="107" t="str">
        <f t="shared" si="3"/>
        <v>28541 Bonds Payable - Current</v>
      </c>
      <c r="G48" s="105" t="s">
        <v>241</v>
      </c>
      <c r="H48" s="107" t="s">
        <v>242</v>
      </c>
      <c r="I48" s="112">
        <v>0</v>
      </c>
      <c r="J48" s="113">
        <f>SUMIFS('Budget Worksheet'!$J$5:$J$234,'Budget Worksheet'!$B$5:$B$234,'Master Budget'!G48)</f>
        <v>0</v>
      </c>
      <c r="K48" s="113"/>
      <c r="L48" s="113">
        <f>SUMIFS('Budget Worksheet'!$L$5:$L$234,'Budget Worksheet'!$B$5:$B$234,'Master Budget'!G48)</f>
        <v>0</v>
      </c>
      <c r="M48" s="113">
        <f>_xlfn.XLOOKUP(G48,'Budget Worksheet'!$B$5:$B$234,'Budget Worksheet'!$N$5:$N$234,0)</f>
        <v>0</v>
      </c>
      <c r="N48" s="113">
        <f>_xlfn.XLOOKUP(G48,'Budget Worksheet'!$B$5:$B$234,'Budget Worksheet'!$U$5:$U$234,0)</f>
        <v>0</v>
      </c>
      <c r="O48" s="113">
        <f>_xlfn.XLOOKUP(G48,'Budget Worksheet'!$B$4:$B$234,'Budget Worksheet'!$S$4:$S$234,0)</f>
        <v>0</v>
      </c>
      <c r="P48" s="113">
        <f>_xlfn.XLOOKUP(G48,'Budget Worksheet'!$B$4:$B$234,'Budget Worksheet'!$U$4:$U$234,0)</f>
        <v>0</v>
      </c>
      <c r="Q48" s="107" t="e">
        <f>MATCH(G48,'Budget Worksheet'!$B$5:$B$234,0)</f>
        <v>#N/A</v>
      </c>
      <c r="R48" s="112">
        <f t="shared" si="1"/>
        <v>0</v>
      </c>
      <c r="S48" s="108"/>
    </row>
    <row r="49" spans="1:19" x14ac:dyDescent="0.25">
      <c r="A49" s="107">
        <v>46</v>
      </c>
      <c r="B49" s="105" t="s">
        <v>71</v>
      </c>
      <c r="C49" s="105" t="str">
        <f t="shared" si="2"/>
        <v>20</v>
      </c>
      <c r="D49" s="105">
        <v>28510</v>
      </c>
      <c r="E49" s="106" t="s">
        <v>1042</v>
      </c>
      <c r="F49" s="107" t="str">
        <f t="shared" si="3"/>
        <v>28510 Notes Payable - Non Current</v>
      </c>
      <c r="G49" s="105" t="s">
        <v>243</v>
      </c>
      <c r="H49" s="107" t="s">
        <v>244</v>
      </c>
      <c r="I49" s="112">
        <v>0</v>
      </c>
      <c r="J49" s="113">
        <f>SUMIFS('Budget Worksheet'!$J$5:$J$234,'Budget Worksheet'!$B$5:$B$234,'Master Budget'!G49)</f>
        <v>0</v>
      </c>
      <c r="K49" s="113"/>
      <c r="L49" s="113">
        <f>SUMIFS('Budget Worksheet'!$L$5:$L$234,'Budget Worksheet'!$B$5:$B$234,'Master Budget'!G49)</f>
        <v>0</v>
      </c>
      <c r="M49" s="113">
        <f>_xlfn.XLOOKUP(G49,'Budget Worksheet'!$B$5:$B$234,'Budget Worksheet'!$N$5:$N$234,0)</f>
        <v>0</v>
      </c>
      <c r="N49" s="113">
        <f>_xlfn.XLOOKUP(G49,'Budget Worksheet'!$B$5:$B$234,'Budget Worksheet'!$U$5:$U$234,0)</f>
        <v>0</v>
      </c>
      <c r="O49" s="113">
        <f>_xlfn.XLOOKUP(G49,'Budget Worksheet'!$B$4:$B$234,'Budget Worksheet'!$S$4:$S$234,0)</f>
        <v>0</v>
      </c>
      <c r="P49" s="113">
        <f>_xlfn.XLOOKUP(G49,'Budget Worksheet'!$B$4:$B$234,'Budget Worksheet'!$U$4:$U$234,0)</f>
        <v>0</v>
      </c>
      <c r="Q49" s="107" t="e">
        <f>MATCH(G49,'Budget Worksheet'!$B$5:$B$234,0)</f>
        <v>#N/A</v>
      </c>
      <c r="R49" s="112">
        <f t="shared" si="1"/>
        <v>0</v>
      </c>
      <c r="S49" s="108"/>
    </row>
    <row r="50" spans="1:19" x14ac:dyDescent="0.25">
      <c r="A50" s="107">
        <v>47</v>
      </c>
      <c r="B50" s="105" t="s">
        <v>1049</v>
      </c>
      <c r="C50" s="105" t="str">
        <f t="shared" si="2"/>
        <v>20</v>
      </c>
      <c r="D50" s="105">
        <v>29100</v>
      </c>
      <c r="E50" s="106" t="s">
        <v>1050</v>
      </c>
      <c r="F50" s="107" t="str">
        <f t="shared" si="3"/>
        <v>29100 Unrestricted</v>
      </c>
      <c r="G50" s="105" t="s">
        <v>245</v>
      </c>
      <c r="H50" s="107" t="s">
        <v>246</v>
      </c>
      <c r="I50" s="112">
        <v>0</v>
      </c>
      <c r="J50" s="113">
        <f>SUMIFS('Budget Worksheet'!$J$5:$J$234,'Budget Worksheet'!$B$5:$B$234,'Master Budget'!G50)</f>
        <v>0</v>
      </c>
      <c r="K50" s="113"/>
      <c r="L50" s="113">
        <f>SUMIFS('Budget Worksheet'!$L$5:$L$234,'Budget Worksheet'!$B$5:$B$234,'Master Budget'!G50)</f>
        <v>0</v>
      </c>
      <c r="M50" s="113">
        <f>_xlfn.XLOOKUP(G50,'Budget Worksheet'!$B$5:$B$234,'Budget Worksheet'!$N$5:$N$234,0)</f>
        <v>0</v>
      </c>
      <c r="N50" s="113">
        <f>_xlfn.XLOOKUP(G50,'Budget Worksheet'!$B$5:$B$234,'Budget Worksheet'!$U$5:$U$234,0)</f>
        <v>0</v>
      </c>
      <c r="O50" s="113">
        <f>_xlfn.XLOOKUP(G50,'Budget Worksheet'!$B$4:$B$234,'Budget Worksheet'!$S$4:$S$234,0)</f>
        <v>0</v>
      </c>
      <c r="P50" s="113">
        <f>_xlfn.XLOOKUP(G50,'Budget Worksheet'!$B$4:$B$234,'Budget Worksheet'!$U$4:$U$234,0)</f>
        <v>0</v>
      </c>
      <c r="Q50" s="107" t="e">
        <f>MATCH(G50,'Budget Worksheet'!$B$5:$B$234,0)</f>
        <v>#N/A</v>
      </c>
      <c r="R50" s="112">
        <f t="shared" si="1"/>
        <v>0</v>
      </c>
      <c r="S50" s="108"/>
    </row>
    <row r="51" spans="1:19" x14ac:dyDescent="0.25">
      <c r="A51" s="107">
        <v>48</v>
      </c>
      <c r="B51" s="105" t="s">
        <v>97</v>
      </c>
      <c r="C51" s="105" t="str">
        <f t="shared" si="2"/>
        <v>20</v>
      </c>
      <c r="D51" s="105">
        <v>30</v>
      </c>
      <c r="E51" s="106" t="s">
        <v>6</v>
      </c>
      <c r="F51" s="107" t="str">
        <f t="shared" si="3"/>
        <v>30 Charges for services</v>
      </c>
      <c r="G51" s="105" t="s">
        <v>247</v>
      </c>
      <c r="H51" s="107" t="s">
        <v>248</v>
      </c>
      <c r="I51" s="112">
        <v>0</v>
      </c>
      <c r="J51" s="113">
        <f>SUMIFS('Budget Worksheet'!$J$5:$J$234,'Budget Worksheet'!$B$5:$B$234,'Master Budget'!G51)</f>
        <v>0</v>
      </c>
      <c r="K51" s="113"/>
      <c r="L51" s="113">
        <f>SUMIFS('Budget Worksheet'!$L$5:$L$234,'Budget Worksheet'!$B$5:$B$234,'Master Budget'!G51)</f>
        <v>0</v>
      </c>
      <c r="M51" s="113">
        <f>_xlfn.XLOOKUP(G51,'Budget Worksheet'!$B$5:$B$234,'Budget Worksheet'!$N$5:$N$234,0)</f>
        <v>0</v>
      </c>
      <c r="N51" s="113">
        <f>_xlfn.XLOOKUP(G51,'Budget Worksheet'!$B$5:$B$234,'Budget Worksheet'!$U$5:$U$234,0)</f>
        <v>0</v>
      </c>
      <c r="O51" s="113">
        <f>_xlfn.XLOOKUP(G51,'Budget Worksheet'!$B$4:$B$234,'Budget Worksheet'!$S$4:$S$234,0)</f>
        <v>0</v>
      </c>
      <c r="P51" s="113">
        <f>_xlfn.XLOOKUP(G51,'Budget Worksheet'!$B$4:$B$234,'Budget Worksheet'!$U$4:$U$234,0)</f>
        <v>0</v>
      </c>
      <c r="Q51" s="107">
        <f>MATCH(G51,'Budget Worksheet'!$B$5:$B$234,0)</f>
        <v>1</v>
      </c>
      <c r="R51" s="112">
        <f t="shared" si="1"/>
        <v>0</v>
      </c>
      <c r="S51" s="108"/>
    </row>
    <row r="52" spans="1:19" x14ac:dyDescent="0.25">
      <c r="A52" s="107">
        <v>49</v>
      </c>
      <c r="B52" s="105" t="s">
        <v>97</v>
      </c>
      <c r="C52" s="105" t="str">
        <f t="shared" si="2"/>
        <v>20</v>
      </c>
      <c r="D52" s="105">
        <v>30</v>
      </c>
      <c r="E52" s="106" t="s">
        <v>6</v>
      </c>
      <c r="F52" s="107" t="str">
        <f t="shared" si="3"/>
        <v>30 Charges for services</v>
      </c>
      <c r="G52" s="105" t="s">
        <v>249</v>
      </c>
      <c r="H52" s="107" t="s">
        <v>250</v>
      </c>
      <c r="I52" s="112">
        <v>-815780</v>
      </c>
      <c r="J52" s="113">
        <f>SUMIFS('Budget Worksheet'!$J$5:$J$234,'Budget Worksheet'!$B$5:$B$234,'Master Budget'!G52)</f>
        <v>-815780</v>
      </c>
      <c r="K52" s="113">
        <f>_xlfn.XLOOKUP(G52,'Budget Worksheet'!$B$5:$B$234,'Budget Worksheet'!$G$5:$G$234,0)</f>
        <v>-1251200.6400000001</v>
      </c>
      <c r="L52" s="113">
        <f>SUMIFS('Budget Worksheet'!$L$5:$L$234,'Budget Worksheet'!$B$5:$B$234,'Master Budget'!G52)</f>
        <v>-815780</v>
      </c>
      <c r="M52" s="113">
        <f>_xlfn.XLOOKUP(G52,'Budget Worksheet'!$B$5:$B$234,'Budget Worksheet'!$N$5:$N$234,0)</f>
        <v>-815780</v>
      </c>
      <c r="N52" s="113">
        <f>_xlfn.XLOOKUP(G52,'Budget Worksheet'!$B$5:$B$234,'Budget Worksheet'!$P$5:$P$234,0)</f>
        <v>-898000</v>
      </c>
      <c r="O52" s="113">
        <f>_xlfn.XLOOKUP(G52,'Budget Worksheet'!$B$4:$B$234,'Budget Worksheet'!$S$4:$S$234,0)</f>
        <v>-898000</v>
      </c>
      <c r="P52" s="113">
        <f>_xlfn.XLOOKUP(G52,'Budget Worksheet'!$B$4:$B$234,'Budget Worksheet'!$U$4:$U$234,0)</f>
        <v>-933078.32</v>
      </c>
      <c r="Q52" s="107">
        <f>MATCH(G52,'Budget Worksheet'!$B$5:$B$234,0)</f>
        <v>2</v>
      </c>
      <c r="R52" s="112">
        <f t="shared" si="1"/>
        <v>-5412320.6400000006</v>
      </c>
      <c r="S52" s="108"/>
    </row>
    <row r="53" spans="1:19" x14ac:dyDescent="0.25">
      <c r="A53" s="107">
        <v>50</v>
      </c>
      <c r="B53" s="105" t="s">
        <v>97</v>
      </c>
      <c r="C53" s="105" t="str">
        <f t="shared" si="2"/>
        <v>20</v>
      </c>
      <c r="D53" s="105">
        <v>70</v>
      </c>
      <c r="E53" s="106" t="s">
        <v>20</v>
      </c>
      <c r="F53" s="107" t="str">
        <f t="shared" si="3"/>
        <v>70 Grant revenue</v>
      </c>
      <c r="G53" s="105" t="s">
        <v>251</v>
      </c>
      <c r="H53" s="107" t="s">
        <v>252</v>
      </c>
      <c r="I53" s="112">
        <v>-20000</v>
      </c>
      <c r="J53" s="113">
        <f>SUMIFS('Budget Worksheet'!$J$5:$J$234,'Budget Worksheet'!$B$5:$B$234,'Master Budget'!G53)</f>
        <v>-107000</v>
      </c>
      <c r="K53" s="113">
        <f>_xlfn.XLOOKUP(G53,'Budget Worksheet'!$B$5:$B$234,'Budget Worksheet'!$G$5:$G$234,0)</f>
        <v>-5912.5714285714284</v>
      </c>
      <c r="L53" s="113">
        <f>SUMIFS('Budget Worksheet'!$L$5:$L$234,'Budget Worksheet'!$B$5:$B$234,'Master Budget'!G53)</f>
        <v>-107000</v>
      </c>
      <c r="M53" s="113">
        <f>_xlfn.XLOOKUP(G53,'Budget Worksheet'!$B$5:$B$234,'Budget Worksheet'!$N$5:$N$234,0)</f>
        <v>-107000</v>
      </c>
      <c r="N53" s="113">
        <f>_xlfn.XLOOKUP(G53,'Budget Worksheet'!$B$5:$B$234,'Budget Worksheet'!$P$5:$P$234,0)</f>
        <v>-100000</v>
      </c>
      <c r="O53" s="113">
        <f>_xlfn.XLOOKUP(G53,'Budget Worksheet'!$B$4:$B$234,'Budget Worksheet'!$S$4:$S$234,0)</f>
        <v>-100000</v>
      </c>
      <c r="P53" s="113">
        <f>_xlfn.XLOOKUP(G53,'Budget Worksheet'!$B$4:$B$234,'Budget Worksheet'!$U$4:$U$234,0)</f>
        <v>-55250</v>
      </c>
      <c r="Q53" s="107">
        <f>MATCH(G53,'Budget Worksheet'!$B$5:$B$234,0)</f>
        <v>3</v>
      </c>
      <c r="R53" s="112">
        <f t="shared" si="1"/>
        <v>-446912.57142857142</v>
      </c>
      <c r="S53" s="108"/>
    </row>
    <row r="54" spans="1:19" x14ac:dyDescent="0.25">
      <c r="A54" s="107">
        <v>51</v>
      </c>
      <c r="B54" s="105" t="s">
        <v>97</v>
      </c>
      <c r="C54" s="105" t="str">
        <f t="shared" si="2"/>
        <v>20</v>
      </c>
      <c r="D54" s="105">
        <v>30</v>
      </c>
      <c r="E54" s="106" t="s">
        <v>6</v>
      </c>
      <c r="F54" s="107" t="str">
        <f t="shared" si="3"/>
        <v>30 Charges for services</v>
      </c>
      <c r="G54" s="105" t="s">
        <v>253</v>
      </c>
      <c r="H54" s="107" t="s">
        <v>254</v>
      </c>
      <c r="I54" s="112">
        <v>-135000</v>
      </c>
      <c r="J54" s="113">
        <f>SUMIFS('Budget Worksheet'!$J$5:$J$234,'Budget Worksheet'!$B$5:$B$234,'Master Budget'!G54)</f>
        <v>-135000</v>
      </c>
      <c r="K54" s="113">
        <f>_xlfn.XLOOKUP(G54,'Budget Worksheet'!$B$5:$B$234,'Budget Worksheet'!$G$5:$G$234,0)</f>
        <v>-110513.05714285714</v>
      </c>
      <c r="L54" s="113">
        <f>SUMIFS('Budget Worksheet'!$L$5:$L$234,'Budget Worksheet'!$B$5:$B$234,'Master Budget'!G54)</f>
        <v>-135000</v>
      </c>
      <c r="M54" s="113">
        <f>_xlfn.XLOOKUP(G54,'Budget Worksheet'!$B$5:$B$234,'Budget Worksheet'!$N$5:$N$234,0)</f>
        <v>-135000</v>
      </c>
      <c r="N54" s="113">
        <f>_xlfn.XLOOKUP(G54,'Budget Worksheet'!$B$5:$B$234,'Budget Worksheet'!$P$5:$P$234,0)</f>
        <v>-140000</v>
      </c>
      <c r="O54" s="113">
        <f>_xlfn.XLOOKUP(G54,'Budget Worksheet'!$B$4:$B$234,'Budget Worksheet'!$S$4:$S$234,0)</f>
        <v>-140000</v>
      </c>
      <c r="P54" s="113">
        <f>_xlfn.XLOOKUP(G54,'Budget Worksheet'!$B$4:$B$234,'Budget Worksheet'!$U$4:$U$234,0)</f>
        <v>-156000</v>
      </c>
      <c r="Q54" s="107">
        <f>MATCH(G54,'Budget Worksheet'!$B$5:$B$234,0)</f>
        <v>4</v>
      </c>
      <c r="R54" s="112">
        <f t="shared" si="1"/>
        <v>-790513.05714285711</v>
      </c>
      <c r="S54" s="108"/>
    </row>
    <row r="55" spans="1:19" x14ac:dyDescent="0.25">
      <c r="A55" s="107">
        <v>52</v>
      </c>
      <c r="B55" s="105" t="s">
        <v>97</v>
      </c>
      <c r="C55" s="105" t="str">
        <f t="shared" si="2"/>
        <v>20</v>
      </c>
      <c r="D55" s="105">
        <v>960</v>
      </c>
      <c r="E55" s="106" t="s">
        <v>19</v>
      </c>
      <c r="F55" s="107" t="str">
        <f t="shared" si="3"/>
        <v>960 Interest income</v>
      </c>
      <c r="G55" s="105" t="s">
        <v>255</v>
      </c>
      <c r="H55" s="107" t="s">
        <v>256</v>
      </c>
      <c r="I55" s="112">
        <v>-14000</v>
      </c>
      <c r="J55" s="113">
        <f>SUMIFS('Budget Worksheet'!$J$5:$J$234,'Budget Worksheet'!$B$5:$B$234,'Master Budget'!G55)</f>
        <v>-14000</v>
      </c>
      <c r="K55" s="113">
        <f>_xlfn.XLOOKUP(G55,'Budget Worksheet'!$B$5:$B$234,'Budget Worksheet'!$G$5:$G$234,0)</f>
        <v>-5567.5371428571434</v>
      </c>
      <c r="L55" s="113">
        <f>SUMIFS('Budget Worksheet'!$L$5:$L$234,'Budget Worksheet'!$B$5:$B$234,'Master Budget'!G55)</f>
        <v>-14000</v>
      </c>
      <c r="M55" s="113">
        <f>_xlfn.XLOOKUP(G55,'Budget Worksheet'!$B$5:$B$234,'Budget Worksheet'!$N$5:$N$234,0)</f>
        <v>-14000</v>
      </c>
      <c r="N55" s="113">
        <f>_xlfn.XLOOKUP(G55,'Budget Worksheet'!$B$5:$B$234,'Budget Worksheet'!$P$5:$P$234,0)</f>
        <v>-14000</v>
      </c>
      <c r="O55" s="113">
        <f>_xlfn.XLOOKUP(G55,'Budget Worksheet'!$B$4:$B$234,'Budget Worksheet'!$S$4:$S$234,0)</f>
        <v>-14000</v>
      </c>
      <c r="P55" s="113">
        <f>_xlfn.XLOOKUP(G55,'Budget Worksheet'!$B$4:$B$234,'Budget Worksheet'!$U$4:$U$234,0)</f>
        <v>-9000</v>
      </c>
      <c r="Q55" s="107">
        <f>MATCH(G55,'Budget Worksheet'!$B$5:$B$234,0)</f>
        <v>5</v>
      </c>
      <c r="R55" s="112">
        <f t="shared" si="1"/>
        <v>-75567.537142857153</v>
      </c>
      <c r="S55" s="108"/>
    </row>
    <row r="56" spans="1:19" x14ac:dyDescent="0.25">
      <c r="A56" s="107">
        <v>53</v>
      </c>
      <c r="B56" s="105" t="s">
        <v>97</v>
      </c>
      <c r="C56" s="105" t="str">
        <f t="shared" si="2"/>
        <v>20</v>
      </c>
      <c r="D56" s="105">
        <v>40</v>
      </c>
      <c r="E56" s="106" t="s">
        <v>881</v>
      </c>
      <c r="F56" s="107" t="str">
        <f t="shared" si="3"/>
        <v>40 Miscellaneous income</v>
      </c>
      <c r="G56" s="105" t="s">
        <v>257</v>
      </c>
      <c r="H56" s="107" t="s">
        <v>99</v>
      </c>
      <c r="I56" s="112">
        <v>-1000</v>
      </c>
      <c r="J56" s="113">
        <f>SUMIFS('Budget Worksheet'!$J$5:$J$234,'Budget Worksheet'!$B$5:$B$234,'Master Budget'!G56)</f>
        <v>-1300</v>
      </c>
      <c r="K56" s="113">
        <f>_xlfn.XLOOKUP(G56,'Budget Worksheet'!$B$5:$B$234,'Budget Worksheet'!$G$5:$G$234,0)</f>
        <v>0</v>
      </c>
      <c r="L56" s="113">
        <f>SUMIFS('Budget Worksheet'!$L$5:$L$234,'Budget Worksheet'!$B$5:$B$234,'Master Budget'!G56)</f>
        <v>-1300</v>
      </c>
      <c r="M56" s="113">
        <f>_xlfn.XLOOKUP(G56,'Budget Worksheet'!$B$5:$B$234,'Budget Worksheet'!$N$5:$N$234,0)</f>
        <v>-1300</v>
      </c>
      <c r="N56" s="113">
        <f>_xlfn.XLOOKUP(G56,'Budget Worksheet'!$B$5:$B$234,'Budget Worksheet'!$P$5:$P$234,0)</f>
        <v>-1300</v>
      </c>
      <c r="O56" s="113">
        <f>_xlfn.XLOOKUP(G56,'Budget Worksheet'!$B$4:$B$234,'Budget Worksheet'!$S$4:$S$234,0)</f>
        <v>-1300</v>
      </c>
      <c r="P56" s="113">
        <f>_xlfn.XLOOKUP(G56,'Budget Worksheet'!$B$4:$B$234,'Budget Worksheet'!$U$4:$U$234,0)</f>
        <v>-1300</v>
      </c>
      <c r="Q56" s="107">
        <f>MATCH(G56,'Budget Worksheet'!$B$5:$B$234,0)</f>
        <v>6</v>
      </c>
      <c r="R56" s="112">
        <f t="shared" si="1"/>
        <v>-6200</v>
      </c>
      <c r="S56" s="108"/>
    </row>
    <row r="57" spans="1:19" x14ac:dyDescent="0.25">
      <c r="A57" s="107">
        <v>54</v>
      </c>
      <c r="B57" s="105" t="s">
        <v>97</v>
      </c>
      <c r="C57" s="105" t="str">
        <f t="shared" si="2"/>
        <v>20</v>
      </c>
      <c r="D57" s="105">
        <v>950</v>
      </c>
      <c r="E57" s="106" t="s">
        <v>17</v>
      </c>
      <c r="F57" s="107" t="str">
        <f t="shared" si="3"/>
        <v>950 Property Taxes</v>
      </c>
      <c r="G57" s="105" t="s">
        <v>258</v>
      </c>
      <c r="H57" s="107" t="s">
        <v>259</v>
      </c>
      <c r="I57" s="112">
        <v>-85000</v>
      </c>
      <c r="J57" s="113">
        <f>SUMIFS('Budget Worksheet'!$J$5:$J$234,'Budget Worksheet'!$B$5:$B$234,'Master Budget'!G57)</f>
        <v>-85000</v>
      </c>
      <c r="K57" s="113">
        <f>_xlfn.XLOOKUP(G57,'Budget Worksheet'!$B$5:$B$234,'Budget Worksheet'!$G$5:$G$234,0)</f>
        <v>-11832.188571428571</v>
      </c>
      <c r="L57" s="113">
        <f>SUMIFS('Budget Worksheet'!$L$5:$L$234,'Budget Worksheet'!$B$5:$B$234,'Master Budget'!G57)</f>
        <v>-85000</v>
      </c>
      <c r="M57" s="113">
        <f>_xlfn.XLOOKUP(G57,'Budget Worksheet'!$B$5:$B$234,'Budget Worksheet'!$N$5:$N$234,0)</f>
        <v>-85000</v>
      </c>
      <c r="N57" s="113">
        <f>_xlfn.XLOOKUP(G57,'Budget Worksheet'!$B$5:$B$234,'Budget Worksheet'!$P$5:$P$234,0)</f>
        <v>-85000</v>
      </c>
      <c r="O57" s="113">
        <f>_xlfn.XLOOKUP(G57,'Budget Worksheet'!$B$4:$B$234,'Budget Worksheet'!$S$4:$S$234,0)</f>
        <v>-85000</v>
      </c>
      <c r="P57" s="113">
        <f>_xlfn.XLOOKUP(G57,'Budget Worksheet'!$B$4:$B$234,'Budget Worksheet'!$U$4:$U$234,0)</f>
        <v>-85000</v>
      </c>
      <c r="Q57" s="107">
        <f>MATCH(G57,'Budget Worksheet'!$B$5:$B$234,0)</f>
        <v>7</v>
      </c>
      <c r="R57" s="112">
        <f t="shared" si="1"/>
        <v>-436832.18857142853</v>
      </c>
      <c r="S57" s="108"/>
    </row>
    <row r="58" spans="1:19" x14ac:dyDescent="0.25">
      <c r="A58" s="107">
        <v>55</v>
      </c>
      <c r="B58" s="105" t="s">
        <v>97</v>
      </c>
      <c r="C58" s="105" t="str">
        <f t="shared" si="2"/>
        <v>20</v>
      </c>
      <c r="D58" s="105">
        <v>960</v>
      </c>
      <c r="E58" s="106" t="s">
        <v>19</v>
      </c>
      <c r="F58" s="107" t="str">
        <f t="shared" si="3"/>
        <v>960 Interest income</v>
      </c>
      <c r="G58" s="105" t="s">
        <v>260</v>
      </c>
      <c r="H58" s="107" t="s">
        <v>261</v>
      </c>
      <c r="I58" s="112">
        <v>-5000</v>
      </c>
      <c r="J58" s="113">
        <f>SUMIFS('Budget Worksheet'!$J$5:$J$234,'Budget Worksheet'!$B$5:$B$234,'Master Budget'!G58)</f>
        <v>-25000</v>
      </c>
      <c r="K58" s="113">
        <f>_xlfn.XLOOKUP(G58,'Budget Worksheet'!$B$5:$B$234,'Budget Worksheet'!$G$5:$G$234,0)</f>
        <v>-43265.38285714286</v>
      </c>
      <c r="L58" s="113">
        <f>SUMIFS('Budget Worksheet'!$L$5:$L$234,'Budget Worksheet'!$B$5:$B$234,'Master Budget'!G58)</f>
        <v>-25000</v>
      </c>
      <c r="M58" s="113">
        <f>_xlfn.XLOOKUP(G58,'Budget Worksheet'!$B$5:$B$234,'Budget Worksheet'!$N$5:$N$234,0)</f>
        <v>-25000</v>
      </c>
      <c r="N58" s="113">
        <f>_xlfn.XLOOKUP(G58,'Budget Worksheet'!$B$5:$B$234,'Budget Worksheet'!$P$5:$P$234,0)</f>
        <v>-25000</v>
      </c>
      <c r="O58" s="113">
        <f>_xlfn.XLOOKUP(G58,'Budget Worksheet'!$B$4:$B$234,'Budget Worksheet'!$S$4:$S$234,0)</f>
        <v>-25000</v>
      </c>
      <c r="P58" s="113">
        <f>_xlfn.XLOOKUP(G58,'Budget Worksheet'!$B$4:$B$234,'Budget Worksheet'!$U$4:$U$234,0)</f>
        <v>-31000</v>
      </c>
      <c r="Q58" s="107">
        <f>MATCH(G58,'Budget Worksheet'!$B$5:$B$234,0)</f>
        <v>8</v>
      </c>
      <c r="R58" s="112">
        <f t="shared" si="1"/>
        <v>-148265.38285714286</v>
      </c>
      <c r="S58" s="108"/>
    </row>
    <row r="59" spans="1:19" x14ac:dyDescent="0.25">
      <c r="A59" s="107">
        <v>56</v>
      </c>
      <c r="B59" s="105" t="s">
        <v>97</v>
      </c>
      <c r="C59" s="105" t="str">
        <f t="shared" si="2"/>
        <v>20</v>
      </c>
      <c r="D59" s="105">
        <v>60</v>
      </c>
      <c r="E59" s="106" t="s">
        <v>18</v>
      </c>
      <c r="F59" s="107" t="str">
        <f t="shared" si="3"/>
        <v>60 Donations</v>
      </c>
      <c r="G59" s="105" t="s">
        <v>262</v>
      </c>
      <c r="H59" s="107" t="s">
        <v>263</v>
      </c>
      <c r="I59" s="112">
        <v>-15000</v>
      </c>
      <c r="J59" s="113">
        <f>SUMIFS('Budget Worksheet'!$J$5:$J$234,'Budget Worksheet'!$B$5:$B$234,'Master Budget'!G59)</f>
        <v>-15000</v>
      </c>
      <c r="K59" s="113">
        <f>_xlfn.XLOOKUP(G59,'Budget Worksheet'!$B$5:$B$234,'Budget Worksheet'!$G$5:$G$234,0)</f>
        <v>-21453.805714285714</v>
      </c>
      <c r="L59" s="113">
        <f>SUMIFS('Budget Worksheet'!$L$5:$L$234,'Budget Worksheet'!$B$5:$B$234,'Master Budget'!G59)</f>
        <v>-15000</v>
      </c>
      <c r="M59" s="113">
        <f>_xlfn.XLOOKUP(G59,'Budget Worksheet'!$B$5:$B$234,'Budget Worksheet'!$N$5:$N$234,0)</f>
        <v>-15000</v>
      </c>
      <c r="N59" s="113">
        <f>_xlfn.XLOOKUP(G59,'Budget Worksheet'!$B$5:$B$234,'Budget Worksheet'!$P$5:$P$234,0)</f>
        <v>-15000</v>
      </c>
      <c r="O59" s="113">
        <f>_xlfn.XLOOKUP(G59,'Budget Worksheet'!$B$4:$B$234,'Budget Worksheet'!$S$4:$S$234,0)</f>
        <v>-15000</v>
      </c>
      <c r="P59" s="113">
        <f>_xlfn.XLOOKUP(G59,'Budget Worksheet'!$B$4:$B$234,'Budget Worksheet'!$U$4:$U$234,0)</f>
        <v>-15000</v>
      </c>
      <c r="Q59" s="107">
        <f>MATCH(G59,'Budget Worksheet'!$B$5:$B$234,0)</f>
        <v>9</v>
      </c>
      <c r="R59" s="112">
        <f t="shared" si="1"/>
        <v>-96453.805714285714</v>
      </c>
      <c r="S59" s="108"/>
    </row>
    <row r="60" spans="1:19" x14ac:dyDescent="0.25">
      <c r="A60" s="107">
        <v>57</v>
      </c>
      <c r="B60" s="105" t="s">
        <v>97</v>
      </c>
      <c r="C60" s="105" t="str">
        <f t="shared" si="2"/>
        <v>20</v>
      </c>
      <c r="D60" s="105">
        <v>30</v>
      </c>
      <c r="E60" s="106" t="s">
        <v>6</v>
      </c>
      <c r="F60" s="107" t="str">
        <f t="shared" si="3"/>
        <v>30 Charges for services</v>
      </c>
      <c r="G60" s="105" t="s">
        <v>264</v>
      </c>
      <c r="H60" s="107" t="s">
        <v>1051</v>
      </c>
      <c r="I60" s="112">
        <v>-80000</v>
      </c>
      <c r="J60" s="113">
        <f>SUMIFS('Budget Worksheet'!$J$5:$J$234,'Budget Worksheet'!$B$5:$B$234,'Master Budget'!G60)</f>
        <v>-80000</v>
      </c>
      <c r="K60" s="113">
        <f>_xlfn.XLOOKUP(G60,'Budget Worksheet'!$B$5:$B$234,'Budget Worksheet'!$G$5:$G$234,0)</f>
        <v>-151947.78857142857</v>
      </c>
      <c r="L60" s="113">
        <f>SUMIFS('Budget Worksheet'!$L$5:$L$234,'Budget Worksheet'!$B$5:$B$234,'Master Budget'!G60)</f>
        <v>-80000</v>
      </c>
      <c r="M60" s="113">
        <f>_xlfn.XLOOKUP(G60,'Budget Worksheet'!$B$5:$B$234,'Budget Worksheet'!$N$5:$N$234,0)</f>
        <v>-80000</v>
      </c>
      <c r="N60" s="113">
        <f>_xlfn.XLOOKUP(G60,'Budget Worksheet'!$B$5:$B$234,'Budget Worksheet'!$P$5:$P$234,0)</f>
        <v>-80000</v>
      </c>
      <c r="O60" s="113">
        <f>_xlfn.XLOOKUP(G60,'Budget Worksheet'!$B$4:$B$234,'Budget Worksheet'!$S$4:$S$234,0)</f>
        <v>-88000</v>
      </c>
      <c r="P60" s="113">
        <f>_xlfn.XLOOKUP(G60,'Budget Worksheet'!$B$4:$B$234,'Budget Worksheet'!$U$4:$U$234,0)</f>
        <v>-100000</v>
      </c>
      <c r="Q60" s="107">
        <f>MATCH(G60,'Budget Worksheet'!$B$5:$B$234,0)</f>
        <v>10</v>
      </c>
      <c r="R60" s="112">
        <f t="shared" si="1"/>
        <v>-551947.78857142851</v>
      </c>
      <c r="S60" s="108"/>
    </row>
    <row r="61" spans="1:19" x14ac:dyDescent="0.25">
      <c r="A61" s="107">
        <v>58</v>
      </c>
      <c r="B61" s="105" t="s">
        <v>97</v>
      </c>
      <c r="C61" s="105" t="str">
        <f t="shared" si="2"/>
        <v>20</v>
      </c>
      <c r="E61" s="106" t="e">
        <v>#N/A</v>
      </c>
      <c r="F61" s="107" t="e">
        <f t="shared" si="3"/>
        <v>#N/A</v>
      </c>
      <c r="G61" s="177" t="s">
        <v>266</v>
      </c>
      <c r="H61" s="178" t="s">
        <v>267</v>
      </c>
      <c r="I61" s="112">
        <v>0</v>
      </c>
      <c r="J61" s="113">
        <f>SUMIFS('Budget Worksheet'!$J$5:$J$234,'Budget Worksheet'!$B$5:$B$234,'Master Budget'!G61)</f>
        <v>0</v>
      </c>
      <c r="K61" s="113"/>
      <c r="L61" s="113">
        <f>SUMIFS('Budget Worksheet'!$L$5:$L$234,'Budget Worksheet'!$B$5:$B$234,'Master Budget'!G61)</f>
        <v>0</v>
      </c>
      <c r="M61" s="113">
        <f>_xlfn.XLOOKUP(G61,'Budget Worksheet'!$B$5:$B$234,'Budget Worksheet'!$N$5:$N$234,0)</f>
        <v>0</v>
      </c>
      <c r="N61" s="113">
        <f>_xlfn.XLOOKUP(G61,'Budget Worksheet'!$B$5:$B$234,'Budget Worksheet'!$P$5:$P$234,0)</f>
        <v>0</v>
      </c>
      <c r="O61" s="113"/>
      <c r="P61" s="113">
        <f>_xlfn.XLOOKUP(G61,'Budget Worksheet'!$B$4:$B$234,'Budget Worksheet'!$U$4:$U$234,0)</f>
        <v>0</v>
      </c>
      <c r="Q61" s="107" t="e">
        <f>MATCH(G61,'Budget Worksheet'!$B$5:$B$234,0)</f>
        <v>#N/A</v>
      </c>
      <c r="R61" s="112">
        <f t="shared" si="1"/>
        <v>0</v>
      </c>
      <c r="S61" s="108"/>
    </row>
    <row r="62" spans="1:19" x14ac:dyDescent="0.25">
      <c r="A62" s="107">
        <v>59</v>
      </c>
      <c r="B62" s="105" t="s">
        <v>102</v>
      </c>
      <c r="C62" s="105" t="str">
        <f t="shared" si="2"/>
        <v>20</v>
      </c>
      <c r="D62" s="105">
        <v>100</v>
      </c>
      <c r="E62" s="106" t="s">
        <v>9</v>
      </c>
      <c r="F62" s="107" t="str">
        <f t="shared" si="3"/>
        <v>100 Salaries and Benefits</v>
      </c>
      <c r="G62" s="105" t="s">
        <v>268</v>
      </c>
      <c r="H62" s="107" t="s">
        <v>101</v>
      </c>
      <c r="I62" s="112">
        <v>652549.8666666667</v>
      </c>
      <c r="J62" s="113">
        <f>SUMIFS('Budget Worksheet'!$J$5:$J$234,'Budget Worksheet'!$B$5:$B$234,'Master Budget'!G62)</f>
        <v>652549.87</v>
      </c>
      <c r="K62" s="113">
        <f>_xlfn.XLOOKUP(G62,'Budget Worksheet'!$B$5:$B$234,'Budget Worksheet'!$G$5:$G$234,0)</f>
        <v>996928.32000000007</v>
      </c>
      <c r="L62" s="113">
        <f>SUMIFS('Budget Worksheet'!$L$5:$L$234,'Budget Worksheet'!$B$5:$B$234,'Master Budget'!G62)</f>
        <v>746500</v>
      </c>
      <c r="M62" s="113">
        <f>_xlfn.XLOOKUP(G62,'Budget Worksheet'!$B$5:$B$234,'Budget Worksheet'!$N$5:$N$234,0)</f>
        <v>652549.87</v>
      </c>
      <c r="N62" s="113">
        <f>_xlfn.XLOOKUP(G62,'Budget Worksheet'!$B$5:$B$234,'Budget Worksheet'!$P$5:$P$234,0)</f>
        <v>821625</v>
      </c>
      <c r="O62" s="113">
        <f>_xlfn.XLOOKUP(G62,'Budget Worksheet'!$B$4:$B$234,'Budget Worksheet'!$S$4:$S$234,0)</f>
        <v>821625</v>
      </c>
      <c r="P62" s="113">
        <f>_xlfn.XLOOKUP(G62,'Budget Worksheet'!$B$4:$B$234,'Budget Worksheet'!$U$4:$U$234,0)</f>
        <v>752263.28600000008</v>
      </c>
      <c r="Q62" s="107">
        <f>MATCH(G62,'Budget Worksheet'!$B$5:$B$234,0)</f>
        <v>11</v>
      </c>
      <c r="R62" s="112">
        <f t="shared" si="1"/>
        <v>4522702.9266666668</v>
      </c>
      <c r="S62" s="108"/>
    </row>
    <row r="63" spans="1:19" x14ac:dyDescent="0.25">
      <c r="A63" s="107">
        <v>60</v>
      </c>
      <c r="B63" s="105" t="s">
        <v>102</v>
      </c>
      <c r="C63" s="105" t="str">
        <f t="shared" si="2"/>
        <v>20</v>
      </c>
      <c r="D63" s="105">
        <v>100</v>
      </c>
      <c r="E63" s="106" t="s">
        <v>9</v>
      </c>
      <c r="F63" s="107" t="str">
        <f t="shared" si="3"/>
        <v>100 Salaries and Benefits</v>
      </c>
      <c r="G63" s="105" t="s">
        <v>269</v>
      </c>
      <c r="H63" s="107" t="s">
        <v>104</v>
      </c>
      <c r="I63" s="112">
        <v>49920.0648</v>
      </c>
      <c r="J63" s="113">
        <f>SUMIFS('Budget Worksheet'!$J$5:$J$234,'Budget Worksheet'!$B$5:$B$234,'Master Budget'!G63)</f>
        <v>49920.06</v>
      </c>
      <c r="K63" s="113">
        <f>_xlfn.XLOOKUP(G63,'Budget Worksheet'!$B$5:$B$234,'Budget Worksheet'!$G$5:$G$234,0)</f>
        <v>76934.091428571439</v>
      </c>
      <c r="L63" s="113">
        <f>SUMIFS('Budget Worksheet'!$L$5:$L$234,'Budget Worksheet'!$B$5:$B$234,'Master Budget'!G63)</f>
        <v>57107.25</v>
      </c>
      <c r="M63" s="113">
        <f>_xlfn.XLOOKUP(G63,'Budget Worksheet'!$B$5:$B$234,'Budget Worksheet'!$N$5:$N$234,0)</f>
        <v>49920.06</v>
      </c>
      <c r="N63" s="113">
        <f>_xlfn.XLOOKUP(G63,'Budget Worksheet'!$B$5:$B$234,'Budget Worksheet'!$P$5:$P$234,0)</f>
        <v>62854.312500000007</v>
      </c>
      <c r="O63" s="113">
        <f>_xlfn.XLOOKUP(G63,'Budget Worksheet'!$B$4:$B$234,'Budget Worksheet'!$S$4:$S$234,0)</f>
        <v>62854.31</v>
      </c>
      <c r="P63" s="113">
        <f>_xlfn.XLOOKUP(G63,'Budget Worksheet'!$B$4:$B$234,'Budget Worksheet'!$U$4:$U$234,0)</f>
        <v>57548.141378999993</v>
      </c>
      <c r="Q63" s="107">
        <f>MATCH(G63,'Budget Worksheet'!$B$5:$B$234,0)</f>
        <v>12</v>
      </c>
      <c r="R63" s="112">
        <f t="shared" si="1"/>
        <v>346655.83872857143</v>
      </c>
      <c r="S63" s="108"/>
    </row>
    <row r="64" spans="1:19" x14ac:dyDescent="0.25">
      <c r="A64" s="107">
        <v>61</v>
      </c>
      <c r="B64" s="105" t="s">
        <v>102</v>
      </c>
      <c r="C64" s="105" t="str">
        <f t="shared" si="2"/>
        <v>20</v>
      </c>
      <c r="D64" s="105">
        <v>100</v>
      </c>
      <c r="E64" s="106" t="s">
        <v>9</v>
      </c>
      <c r="F64" s="107" t="str">
        <f t="shared" si="3"/>
        <v>100 Salaries and Benefits</v>
      </c>
      <c r="G64" s="105" t="s">
        <v>270</v>
      </c>
      <c r="H64" s="107" t="s">
        <v>106</v>
      </c>
      <c r="I64" s="112">
        <v>101623.32</v>
      </c>
      <c r="J64" s="113">
        <f>SUMIFS('Budget Worksheet'!$J$5:$J$234,'Budget Worksheet'!$B$5:$B$234,'Master Budget'!G64)</f>
        <v>101623.32</v>
      </c>
      <c r="K64" s="113">
        <f>_xlfn.XLOOKUP(G64,'Budget Worksheet'!$B$5:$B$234,'Budget Worksheet'!$G$5:$G$234,0)</f>
        <v>200500.18285714285</v>
      </c>
      <c r="L64" s="113">
        <f>SUMIFS('Budget Worksheet'!$L$5:$L$234,'Budget Worksheet'!$B$5:$B$234,'Master Budget'!G64)</f>
        <v>112500</v>
      </c>
      <c r="M64" s="113">
        <f>_xlfn.XLOOKUP(G64,'Budget Worksheet'!$B$5:$B$234,'Budget Worksheet'!$N$5:$N$234,0)</f>
        <v>154731.20000000001</v>
      </c>
      <c r="N64" s="113">
        <f>_xlfn.XLOOKUP(G64,'Budget Worksheet'!$B$5:$B$234,'Budget Worksheet'!$P$5:$P$234,0)</f>
        <v>125685</v>
      </c>
      <c r="O64" s="113">
        <f>_xlfn.XLOOKUP(G64,'Budget Worksheet'!$B$4:$B$234,'Budget Worksheet'!$S$4:$S$234,0)</f>
        <v>157685</v>
      </c>
      <c r="P64" s="113">
        <f>_xlfn.XLOOKUP(G64,'Budget Worksheet'!$B$4:$B$234,'Budget Worksheet'!$U$4:$U$234,0)</f>
        <v>98664.842199999999</v>
      </c>
      <c r="Q64" s="107">
        <f>MATCH(G64,'Budget Worksheet'!$B$5:$B$234,0)</f>
        <v>13</v>
      </c>
      <c r="R64" s="112">
        <f t="shared" si="1"/>
        <v>796663.02285714285</v>
      </c>
      <c r="S64" s="108"/>
    </row>
    <row r="65" spans="1:19" x14ac:dyDescent="0.25">
      <c r="A65" s="107">
        <v>62</v>
      </c>
      <c r="B65" s="105" t="s">
        <v>102</v>
      </c>
      <c r="C65" s="105" t="str">
        <f t="shared" si="2"/>
        <v>20</v>
      </c>
      <c r="D65" s="105">
        <v>100</v>
      </c>
      <c r="E65" s="106" t="s">
        <v>9</v>
      </c>
      <c r="F65" s="107" t="str">
        <f t="shared" si="3"/>
        <v>100 Salaries and Benefits</v>
      </c>
      <c r="G65" s="105" t="s">
        <v>271</v>
      </c>
      <c r="H65" s="107" t="s">
        <v>108</v>
      </c>
      <c r="I65" s="112">
        <v>178874.60622222224</v>
      </c>
      <c r="J65" s="113">
        <f>SUMIFS('Budget Worksheet'!$J$5:$J$234,'Budget Worksheet'!$B$5:$B$234,'Master Budget'!G65)</f>
        <v>178874.61</v>
      </c>
      <c r="K65" s="113">
        <f>_xlfn.XLOOKUP(G65,'Budget Worksheet'!$B$5:$B$234,'Budget Worksheet'!$G$5:$G$234,0)</f>
        <v>178280.67428571428</v>
      </c>
      <c r="L65" s="113">
        <f>SUMIFS('Budget Worksheet'!$L$5:$L$234,'Budget Worksheet'!$B$5:$B$234,'Master Budget'!G65)</f>
        <v>236063.5</v>
      </c>
      <c r="M65" s="113">
        <f>_xlfn.XLOOKUP(G65,'Budget Worksheet'!$B$5:$B$234,'Budget Worksheet'!$N$5:$N$234,0)</f>
        <v>178874.61</v>
      </c>
      <c r="N65" s="113">
        <f>_xlfn.XLOOKUP(G65,'Budget Worksheet'!$B$5:$B$234,'Budget Worksheet'!$P$5:$P$234,0)</f>
        <v>277457.47499999998</v>
      </c>
      <c r="O65" s="113">
        <f>_xlfn.XLOOKUP(G65,'Budget Worksheet'!$B$4:$B$234,'Budget Worksheet'!$S$4:$S$234,0)</f>
        <v>277457.48</v>
      </c>
      <c r="P65" s="113">
        <f>_xlfn.XLOOKUP(G65,'Budget Worksheet'!$B$4:$B$234,'Budget Worksheet'!$U$4:$U$234,0)</f>
        <v>183789.54084</v>
      </c>
      <c r="Q65" s="107">
        <f>MATCH(G65,'Budget Worksheet'!$B$5:$B$234,0)</f>
        <v>14</v>
      </c>
      <c r="R65" s="112">
        <f t="shared" si="1"/>
        <v>1228425.4755079364</v>
      </c>
      <c r="S65" s="108"/>
    </row>
    <row r="66" spans="1:19" x14ac:dyDescent="0.25">
      <c r="A66" s="107">
        <v>63</v>
      </c>
      <c r="B66" s="105" t="s">
        <v>102</v>
      </c>
      <c r="C66" s="105" t="str">
        <f t="shared" si="2"/>
        <v>20</v>
      </c>
      <c r="D66" s="105">
        <v>100</v>
      </c>
      <c r="E66" s="106" t="s">
        <v>9</v>
      </c>
      <c r="F66" s="107" t="str">
        <f t="shared" si="3"/>
        <v>100 Salaries and Benefits</v>
      </c>
      <c r="G66" s="105" t="s">
        <v>272</v>
      </c>
      <c r="H66" s="107" t="s">
        <v>110</v>
      </c>
      <c r="I66" s="112">
        <v>17162.061493333335</v>
      </c>
      <c r="J66" s="113">
        <f>SUMIFS('Budget Worksheet'!$J$5:$J$234,'Budget Worksheet'!$B$5:$B$234,'Master Budget'!G66)</f>
        <v>17162.060000000001</v>
      </c>
      <c r="K66" s="113">
        <f>_xlfn.XLOOKUP(G66,'Budget Worksheet'!$B$5:$B$234,'Budget Worksheet'!$G$5:$G$234,0)</f>
        <v>14915.228571428568</v>
      </c>
      <c r="L66" s="113">
        <f>SUMIFS('Budget Worksheet'!$L$5:$L$234,'Budget Worksheet'!$B$5:$B$234,'Master Budget'!G66)</f>
        <v>14930</v>
      </c>
      <c r="M66" s="113">
        <f>_xlfn.XLOOKUP(G66,'Budget Worksheet'!$B$5:$B$234,'Budget Worksheet'!$N$5:$N$234,0)</f>
        <v>17162.060000000001</v>
      </c>
      <c r="N66" s="113">
        <f>_xlfn.XLOOKUP(G66,'Budget Worksheet'!$B$5:$B$234,'Budget Worksheet'!$P$5:$P$234,0)</f>
        <v>16432.5</v>
      </c>
      <c r="O66" s="113">
        <f>_xlfn.XLOOKUP(G66,'Budget Worksheet'!$B$4:$B$234,'Budget Worksheet'!$S$4:$S$234,0)</f>
        <v>16432.5</v>
      </c>
      <c r="P66" s="113">
        <f>_xlfn.XLOOKUP(G66,'Budget Worksheet'!$B$4:$B$234,'Budget Worksheet'!$U$4:$U$234,0)</f>
        <v>15045.265719999999</v>
      </c>
      <c r="Q66" s="107">
        <f>MATCH(G66,'Budget Worksheet'!$B$5:$B$234,0)</f>
        <v>15</v>
      </c>
      <c r="R66" s="112">
        <f t="shared" si="1"/>
        <v>97763.910064761905</v>
      </c>
      <c r="S66" s="108"/>
    </row>
    <row r="67" spans="1:19" x14ac:dyDescent="0.25">
      <c r="A67" s="107">
        <v>64</v>
      </c>
      <c r="B67" s="105" t="s">
        <v>102</v>
      </c>
      <c r="C67" s="105" t="str">
        <f t="shared" si="2"/>
        <v>20</v>
      </c>
      <c r="D67" s="105">
        <v>100</v>
      </c>
      <c r="E67" s="106" t="s">
        <v>9</v>
      </c>
      <c r="F67" s="107" t="str">
        <f t="shared" si="3"/>
        <v>100 Salaries and Benefits</v>
      </c>
      <c r="G67" s="105" t="s">
        <v>273</v>
      </c>
      <c r="H67" s="107" t="s">
        <v>112</v>
      </c>
      <c r="I67" s="112">
        <v>0</v>
      </c>
      <c r="J67" s="113">
        <f>SUMIFS('Budget Worksheet'!$J$5:$J$234,'Budget Worksheet'!$B$5:$B$234,'Master Budget'!G67)</f>
        <v>39000</v>
      </c>
      <c r="K67" s="113">
        <f>_xlfn.XLOOKUP(G67,'Budget Worksheet'!$B$5:$B$234,'Budget Worksheet'!$G$5:$G$234,0)</f>
        <v>18288.84</v>
      </c>
      <c r="L67" s="113">
        <f>SUMIFS('Budget Worksheet'!$L$5:$L$234,'Budget Worksheet'!$B$5:$B$234,'Master Budget'!G67)</f>
        <v>20000</v>
      </c>
      <c r="M67" s="113">
        <f>_xlfn.XLOOKUP(G67,'Budget Worksheet'!$B$5:$B$234,'Budget Worksheet'!$N$5:$N$234,0)</f>
        <v>0</v>
      </c>
      <c r="N67" s="113">
        <f>_xlfn.XLOOKUP(G67,'Budget Worksheet'!$B$5:$B$234,'Budget Worksheet'!$P$5:$P$234,0)</f>
        <v>0</v>
      </c>
      <c r="O67" s="113">
        <f>_xlfn.XLOOKUP(G67,'Budget Worksheet'!$B$4:$B$234,'Budget Worksheet'!$S$4:$S$234,0)</f>
        <v>0</v>
      </c>
      <c r="P67" s="113">
        <f>_xlfn.XLOOKUP(G67,'Budget Worksheet'!$B$4:$B$234,'Budget Worksheet'!$U$4:$U$234,0)</f>
        <v>0</v>
      </c>
      <c r="Q67" s="107">
        <f>MATCH(G67,'Budget Worksheet'!$B$5:$B$234,0)</f>
        <v>16</v>
      </c>
      <c r="R67" s="112">
        <f t="shared" si="1"/>
        <v>77288.84</v>
      </c>
      <c r="S67" s="108"/>
    </row>
    <row r="68" spans="1:19" x14ac:dyDescent="0.25">
      <c r="A68" s="107">
        <v>65</v>
      </c>
      <c r="B68" s="105" t="s">
        <v>102</v>
      </c>
      <c r="C68" s="105" t="str">
        <f t="shared" si="2"/>
        <v>20</v>
      </c>
      <c r="D68" s="105">
        <v>100</v>
      </c>
      <c r="E68" s="106" t="s">
        <v>9</v>
      </c>
      <c r="F68" s="107" t="str">
        <f t="shared" ref="F68:F99" si="4">D68&amp;" "&amp;E68</f>
        <v>100 Salaries and Benefits</v>
      </c>
      <c r="G68" s="105" t="s">
        <v>274</v>
      </c>
      <c r="H68" s="107" t="s">
        <v>114</v>
      </c>
      <c r="I68" s="112">
        <v>11</v>
      </c>
      <c r="J68" s="113">
        <f>SUMIFS('Budget Worksheet'!$J$5:$J$234,'Budget Worksheet'!$B$5:$B$234,'Master Budget'!G68)</f>
        <v>130</v>
      </c>
      <c r="K68" s="113">
        <f>_xlfn.XLOOKUP(G68,'Budget Worksheet'!$B$5:$B$234,'Budget Worksheet'!$G$5:$G$234,0)</f>
        <v>122.88</v>
      </c>
      <c r="L68" s="113">
        <f>SUMIFS('Budget Worksheet'!$L$5:$L$234,'Budget Worksheet'!$B$5:$B$234,'Master Budget'!G68)</f>
        <v>36</v>
      </c>
      <c r="M68" s="113">
        <f>_xlfn.XLOOKUP(G68,'Budget Worksheet'!$B$5:$B$234,'Budget Worksheet'!$N$5:$N$234,0)</f>
        <v>57</v>
      </c>
      <c r="N68" s="113">
        <f>_xlfn.XLOOKUP(G68,'Budget Worksheet'!$B$5:$B$234,'Budget Worksheet'!$P$5:$P$234,0)</f>
        <v>38.400000000000006</v>
      </c>
      <c r="O68" s="113">
        <f>_xlfn.XLOOKUP(G68,'Budget Worksheet'!$B$4:$B$234,'Budget Worksheet'!$S$4:$S$234,0)</f>
        <v>100</v>
      </c>
      <c r="P68" s="113">
        <f>_xlfn.XLOOKUP(G68,'Budget Worksheet'!$B$4:$B$234,'Budget Worksheet'!$U$4:$U$234,0)</f>
        <v>38.400000000000006</v>
      </c>
      <c r="Q68" s="107">
        <f>MATCH(G68,'Budget Worksheet'!$B$5:$B$234,0)</f>
        <v>17</v>
      </c>
      <c r="R68" s="112">
        <f t="shared" ref="R68:R131" si="5">SUM(I68:N68)</f>
        <v>395.28</v>
      </c>
      <c r="S68" s="108"/>
    </row>
    <row r="69" spans="1:19" x14ac:dyDescent="0.25">
      <c r="A69" s="107">
        <v>66</v>
      </c>
      <c r="B69" s="105" t="s">
        <v>102</v>
      </c>
      <c r="C69" s="105" t="str">
        <f t="shared" ref="C69:C132" si="6">LEFT(G69,2)</f>
        <v>20</v>
      </c>
      <c r="D69" s="105">
        <v>100</v>
      </c>
      <c r="E69" s="106" t="s">
        <v>9</v>
      </c>
      <c r="F69" s="107" t="str">
        <f t="shared" si="4"/>
        <v>100 Salaries and Benefits</v>
      </c>
      <c r="G69" s="105" t="s">
        <v>275</v>
      </c>
      <c r="H69" s="107" t="s">
        <v>1052</v>
      </c>
      <c r="I69" s="112">
        <v>0</v>
      </c>
      <c r="J69" s="113">
        <f>SUMIFS('Budget Worksheet'!$J$5:$J$234,'Budget Worksheet'!$B$5:$B$234,'Master Budget'!G69)</f>
        <v>5000</v>
      </c>
      <c r="K69" s="113">
        <f>_xlfn.XLOOKUP(G69,'Budget Worksheet'!$B$5:$B$234,'Budget Worksheet'!$G$5:$G$234,0)</f>
        <v>1086.8914285714286</v>
      </c>
      <c r="L69" s="113">
        <f>SUMIFS('Budget Worksheet'!$L$5:$L$234,'Budget Worksheet'!$B$5:$B$234,'Master Budget'!G69)</f>
        <v>5000</v>
      </c>
      <c r="M69" s="113">
        <f>_xlfn.XLOOKUP(G69,'Budget Worksheet'!$B$5:$B$234,'Budget Worksheet'!$N$5:$N$234,0)</f>
        <v>5000</v>
      </c>
      <c r="N69" s="113">
        <f>_xlfn.XLOOKUP(G69,'Budget Worksheet'!$B$5:$B$234,'Budget Worksheet'!$P$5:$P$234,0)</f>
        <v>5000</v>
      </c>
      <c r="O69" s="113">
        <f>_xlfn.XLOOKUP(G69,'Budget Worksheet'!$B$4:$B$234,'Budget Worksheet'!$S$4:$S$234,0)</f>
        <v>2000</v>
      </c>
      <c r="P69" s="113">
        <f>_xlfn.XLOOKUP(G69,'Budget Worksheet'!$B$4:$B$234,'Budget Worksheet'!$U$4:$U$234,0)</f>
        <v>5000</v>
      </c>
      <c r="Q69" s="107">
        <f>MATCH(G69,'Budget Worksheet'!$B$5:$B$234,0)</f>
        <v>18</v>
      </c>
      <c r="R69" s="112">
        <f t="shared" si="5"/>
        <v>21086.891428571427</v>
      </c>
      <c r="S69" s="108"/>
    </row>
    <row r="70" spans="1:19" x14ac:dyDescent="0.25">
      <c r="A70" s="107">
        <v>67</v>
      </c>
      <c r="B70" s="105" t="s">
        <v>102</v>
      </c>
      <c r="C70" s="105" t="str">
        <f t="shared" si="6"/>
        <v>20</v>
      </c>
      <c r="D70" s="105">
        <v>100</v>
      </c>
      <c r="E70" s="106" t="s">
        <v>9</v>
      </c>
      <c r="F70" s="107" t="str">
        <f t="shared" si="4"/>
        <v>100 Salaries and Benefits</v>
      </c>
      <c r="G70" s="105" t="s">
        <v>277</v>
      </c>
      <c r="H70" s="107" t="s">
        <v>1053</v>
      </c>
      <c r="I70" s="112">
        <v>0</v>
      </c>
      <c r="J70" s="113">
        <f>SUMIFS('Budget Worksheet'!$J$5:$J$234,'Budget Worksheet'!$B$5:$B$234,'Master Budget'!G70)</f>
        <v>50000</v>
      </c>
      <c r="K70" s="113">
        <f>_xlfn.XLOOKUP(G70,'Budget Worksheet'!$B$5:$B$234,'Budget Worksheet'!$G$5:$G$234,0)</f>
        <v>1895.4685714285715</v>
      </c>
      <c r="L70" s="113">
        <f>SUMIFS('Budget Worksheet'!$L$5:$L$234,'Budget Worksheet'!$B$5:$B$234,'Master Budget'!G70)</f>
        <v>47225</v>
      </c>
      <c r="M70" s="113">
        <f>_xlfn.XLOOKUP(G70,'Budget Worksheet'!$B$5:$B$234,'Budget Worksheet'!$N$5:$N$234,0)</f>
        <v>6425</v>
      </c>
      <c r="N70" s="113">
        <f>_xlfn.XLOOKUP(G70,'Budget Worksheet'!$B$5:$B$234,'Budget Worksheet'!$P$5:$P$234,0)</f>
        <v>0</v>
      </c>
      <c r="O70" s="113">
        <f>_xlfn.XLOOKUP(G70,'Budget Worksheet'!$B$4:$B$234,'Budget Worksheet'!$S$4:$S$234,0)</f>
        <v>3500</v>
      </c>
      <c r="P70" s="113">
        <f>_xlfn.XLOOKUP(G70,'Budget Worksheet'!$B$4:$B$234,'Budget Worksheet'!$U$4:$U$234,0)</f>
        <v>3500</v>
      </c>
      <c r="Q70" s="107">
        <f>MATCH(G70,'Budget Worksheet'!$B$5:$B$234,0)</f>
        <v>19</v>
      </c>
      <c r="R70" s="112">
        <f t="shared" si="5"/>
        <v>105545.46857142857</v>
      </c>
      <c r="S70" s="108"/>
    </row>
    <row r="71" spans="1:19" x14ac:dyDescent="0.25">
      <c r="A71" s="107">
        <v>68</v>
      </c>
      <c r="B71" s="105" t="s">
        <v>102</v>
      </c>
      <c r="C71" s="105" t="str">
        <f t="shared" si="6"/>
        <v>20</v>
      </c>
      <c r="D71" s="105">
        <v>200</v>
      </c>
      <c r="E71" s="106" t="s">
        <v>10</v>
      </c>
      <c r="F71" s="107" t="str">
        <f t="shared" si="4"/>
        <v>200 General and Administrative</v>
      </c>
      <c r="G71" s="105" t="s">
        <v>279</v>
      </c>
      <c r="H71" s="107" t="s">
        <v>1054</v>
      </c>
      <c r="I71" s="112">
        <v>20000</v>
      </c>
      <c r="J71" s="113">
        <f>SUMIFS('Budget Worksheet'!$J$5:$J$234,'Budget Worksheet'!$B$5:$B$234,'Master Budget'!G71)</f>
        <v>20000</v>
      </c>
      <c r="K71" s="113">
        <f>_xlfn.XLOOKUP(G71,'Budget Worksheet'!$B$5:$B$234,'Budget Worksheet'!$G$5:$G$234,0)</f>
        <v>21067.971428571429</v>
      </c>
      <c r="L71" s="113">
        <f>SUMIFS('Budget Worksheet'!$L$5:$L$234,'Budget Worksheet'!$B$5:$B$234,'Master Budget'!G71)</f>
        <v>20000</v>
      </c>
      <c r="M71" s="113">
        <f>_xlfn.XLOOKUP(G71,'Budget Worksheet'!$B$5:$B$234,'Budget Worksheet'!$N$5:$N$234,0)</f>
        <v>20000</v>
      </c>
      <c r="N71" s="113">
        <f>_xlfn.XLOOKUP(G71,'Budget Worksheet'!$B$5:$B$234,'Budget Worksheet'!$P$5:$P$234,0)</f>
        <v>20000</v>
      </c>
      <c r="O71" s="113">
        <f>_xlfn.XLOOKUP(G71,'Budget Worksheet'!$B$4:$B$234,'Budget Worksheet'!$S$4:$S$234,0)</f>
        <v>20000</v>
      </c>
      <c r="P71" s="113">
        <f>_xlfn.XLOOKUP(G71,'Budget Worksheet'!$B$4:$B$234,'Budget Worksheet'!$U$4:$U$234,0)</f>
        <v>20000</v>
      </c>
      <c r="Q71" s="107">
        <f>MATCH(G71,'Budget Worksheet'!$B$5:$B$234,0)</f>
        <v>20</v>
      </c>
      <c r="R71" s="112">
        <f t="shared" si="5"/>
        <v>121067.97142857143</v>
      </c>
      <c r="S71" s="108"/>
    </row>
    <row r="72" spans="1:19" x14ac:dyDescent="0.25">
      <c r="A72" s="107">
        <v>69</v>
      </c>
      <c r="B72" s="105" t="s">
        <v>102</v>
      </c>
      <c r="C72" s="105" t="str">
        <f t="shared" si="6"/>
        <v>20</v>
      </c>
      <c r="D72" s="105">
        <v>200</v>
      </c>
      <c r="E72" s="106" t="s">
        <v>10</v>
      </c>
      <c r="F72" s="107" t="str">
        <f t="shared" si="4"/>
        <v>200 General and Administrative</v>
      </c>
      <c r="G72" s="105" t="s">
        <v>281</v>
      </c>
      <c r="H72" s="107" t="s">
        <v>381</v>
      </c>
      <c r="I72" s="112">
        <v>10000</v>
      </c>
      <c r="J72" s="113">
        <f>SUMIFS('Budget Worksheet'!$J$5:$J$234,'Budget Worksheet'!$B$5:$B$234,'Master Budget'!G72)</f>
        <v>21000</v>
      </c>
      <c r="K72" s="113">
        <f>_xlfn.XLOOKUP(G72,'Budget Worksheet'!$B$5:$B$234,'Budget Worksheet'!$G$5:$G$234,0)</f>
        <v>27890.982857142855</v>
      </c>
      <c r="L72" s="113">
        <f>SUMIFS('Budget Worksheet'!$L$5:$L$234,'Budget Worksheet'!$B$5:$B$234,'Master Budget'!G72)</f>
        <v>20000</v>
      </c>
      <c r="M72" s="113">
        <f>_xlfn.XLOOKUP(G72,'Budget Worksheet'!$B$5:$B$234,'Budget Worksheet'!$N$5:$N$234,0)</f>
        <v>21000</v>
      </c>
      <c r="N72" s="113">
        <f>_xlfn.XLOOKUP(G72,'Budget Worksheet'!$B$5:$B$234,'Budget Worksheet'!$P$5:$P$234,0)</f>
        <v>25000</v>
      </c>
      <c r="O72" s="113">
        <f>_xlfn.XLOOKUP(G72,'Budget Worksheet'!$B$4:$B$234,'Budget Worksheet'!$S$4:$S$234,0)</f>
        <v>25000</v>
      </c>
      <c r="P72" s="113">
        <f>_xlfn.XLOOKUP(G72,'Budget Worksheet'!$B$4:$B$234,'Budget Worksheet'!$U$4:$U$234,0)</f>
        <v>25000</v>
      </c>
      <c r="Q72" s="107">
        <f>MATCH(G72,'Budget Worksheet'!$B$5:$B$234,0)</f>
        <v>21</v>
      </c>
      <c r="R72" s="112">
        <f t="shared" si="5"/>
        <v>124890.98285714285</v>
      </c>
      <c r="S72" s="108"/>
    </row>
    <row r="73" spans="1:19" x14ac:dyDescent="0.25">
      <c r="A73" s="107">
        <v>70</v>
      </c>
      <c r="B73" s="105" t="s">
        <v>102</v>
      </c>
      <c r="C73" s="105" t="str">
        <f t="shared" si="6"/>
        <v>20</v>
      </c>
      <c r="D73" s="105">
        <v>200</v>
      </c>
      <c r="E73" s="106" t="s">
        <v>10</v>
      </c>
      <c r="F73" s="107" t="str">
        <f t="shared" si="4"/>
        <v>200 General and Administrative</v>
      </c>
      <c r="G73" s="105" t="s">
        <v>283</v>
      </c>
      <c r="H73" s="107" t="s">
        <v>1055</v>
      </c>
      <c r="I73" s="112">
        <v>22000</v>
      </c>
      <c r="J73" s="113">
        <f>SUMIFS('Budget Worksheet'!$J$5:$J$234,'Budget Worksheet'!$B$5:$B$234,'Master Budget'!G73)</f>
        <v>24000</v>
      </c>
      <c r="K73" s="113">
        <f>_xlfn.XLOOKUP(G73,'Budget Worksheet'!$B$5:$B$234,'Budget Worksheet'!$G$5:$G$234,0)</f>
        <v>63460.937142857147</v>
      </c>
      <c r="L73" s="113">
        <f>SUMIFS('Budget Worksheet'!$L$5:$L$234,'Budget Worksheet'!$B$5:$B$234,'Master Budget'!G73)</f>
        <v>22000</v>
      </c>
      <c r="M73" s="113">
        <f>_xlfn.XLOOKUP(G73,'Budget Worksheet'!$B$5:$B$234,'Budget Worksheet'!$N$5:$N$234,0)</f>
        <v>28000</v>
      </c>
      <c r="N73" s="113">
        <f>_xlfn.XLOOKUP(G73,'Budget Worksheet'!$B$5:$B$234,'Budget Worksheet'!$P$5:$P$234,0)</f>
        <v>20000</v>
      </c>
      <c r="O73" s="113">
        <f>_xlfn.XLOOKUP(G73,'Budget Worksheet'!$B$4:$B$234,'Budget Worksheet'!$S$4:$S$234,0)</f>
        <v>45000</v>
      </c>
      <c r="P73" s="113">
        <f>_xlfn.XLOOKUP(G73,'Budget Worksheet'!$B$4:$B$234,'Budget Worksheet'!$U$4:$U$234,0)</f>
        <v>35000</v>
      </c>
      <c r="Q73" s="107">
        <f>MATCH(G73,'Budget Worksheet'!$B$5:$B$234,0)</f>
        <v>22</v>
      </c>
      <c r="R73" s="112">
        <f t="shared" si="5"/>
        <v>179460.93714285715</v>
      </c>
      <c r="S73" s="108"/>
    </row>
    <row r="74" spans="1:19" x14ac:dyDescent="0.25">
      <c r="A74" s="107">
        <v>71</v>
      </c>
      <c r="B74" s="105" t="s">
        <v>102</v>
      </c>
      <c r="C74" s="105" t="str">
        <f t="shared" si="6"/>
        <v>20</v>
      </c>
      <c r="D74" s="105">
        <v>200</v>
      </c>
      <c r="E74" s="106" t="s">
        <v>10</v>
      </c>
      <c r="F74" s="107" t="str">
        <f t="shared" si="4"/>
        <v>200 General and Administrative</v>
      </c>
      <c r="G74" s="177" t="s">
        <v>1056</v>
      </c>
      <c r="H74" s="178" t="s">
        <v>1057</v>
      </c>
      <c r="I74" s="112">
        <v>0</v>
      </c>
      <c r="J74" s="113">
        <f>SUMIFS('Budget Worksheet'!$J$5:$J$234,'Budget Worksheet'!$B$5:$B$234,'Master Budget'!G74)</f>
        <v>0</v>
      </c>
      <c r="K74" s="113"/>
      <c r="L74" s="113">
        <f>SUMIFS('Budget Worksheet'!$L$5:$L$234,'Budget Worksheet'!$B$5:$B$234,'Master Budget'!G74)</f>
        <v>0</v>
      </c>
      <c r="M74" s="113">
        <f>_xlfn.XLOOKUP(G74,'Budget Worksheet'!$B$5:$B$234,'Budget Worksheet'!$N$5:$N$234,0)</f>
        <v>0</v>
      </c>
      <c r="N74" s="113">
        <f>_xlfn.XLOOKUP(G74,'Budget Worksheet'!$B$5:$B$234,'Budget Worksheet'!$P$5:$P$234,0)</f>
        <v>0</v>
      </c>
      <c r="O74" s="113">
        <f>_xlfn.XLOOKUP(G74,'Budget Worksheet'!$B$4:$B$234,'Budget Worksheet'!$S$4:$S$234,0)</f>
        <v>0</v>
      </c>
      <c r="P74" s="113">
        <f>_xlfn.XLOOKUP(G74,'Budget Worksheet'!$B$4:$B$234,'Budget Worksheet'!$U$4:$U$234,0)</f>
        <v>0</v>
      </c>
      <c r="Q74" s="107" t="e">
        <f>MATCH(G74,'Budget Worksheet'!$B$5:$B$234,0)</f>
        <v>#N/A</v>
      </c>
      <c r="R74" s="112">
        <f t="shared" si="5"/>
        <v>0</v>
      </c>
      <c r="S74" s="108"/>
    </row>
    <row r="75" spans="1:19" x14ac:dyDescent="0.25">
      <c r="A75" s="107">
        <v>72</v>
      </c>
      <c r="B75" s="105" t="s">
        <v>102</v>
      </c>
      <c r="C75" s="105" t="str">
        <f t="shared" si="6"/>
        <v>20</v>
      </c>
      <c r="D75" s="105">
        <v>200</v>
      </c>
      <c r="E75" s="106" t="s">
        <v>10</v>
      </c>
      <c r="F75" s="107" t="str">
        <f t="shared" si="4"/>
        <v>200 General and Administrative</v>
      </c>
      <c r="G75" s="105" t="s">
        <v>284</v>
      </c>
      <c r="H75" s="107" t="s">
        <v>124</v>
      </c>
      <c r="I75" s="112">
        <v>7500</v>
      </c>
      <c r="J75" s="113">
        <f>SUMIFS('Budget Worksheet'!$J$5:$J$234,'Budget Worksheet'!$B$5:$B$234,'Master Budget'!G75)</f>
        <v>7500</v>
      </c>
      <c r="K75" s="113">
        <f>_xlfn.XLOOKUP(G75,'Budget Worksheet'!$B$5:$B$234,'Budget Worksheet'!$G$5:$G$234,0)</f>
        <v>12717.651428571429</v>
      </c>
      <c r="L75" s="113">
        <f>SUMIFS('Budget Worksheet'!$L$5:$L$234,'Budget Worksheet'!$B$5:$B$234,'Master Budget'!G75)</f>
        <v>7500</v>
      </c>
      <c r="M75" s="113">
        <f>_xlfn.XLOOKUP(G75,'Budget Worksheet'!$B$5:$B$234,'Budget Worksheet'!$N$5:$N$234,0)</f>
        <v>17000</v>
      </c>
      <c r="N75" s="113">
        <f>_xlfn.XLOOKUP(G75,'Budget Worksheet'!$B$5:$B$234,'Budget Worksheet'!$P$5:$P$234,0)</f>
        <v>17000</v>
      </c>
      <c r="O75" s="113">
        <f>_xlfn.XLOOKUP(G75,'Budget Worksheet'!$B$4:$B$234,'Budget Worksheet'!$S$4:$S$234,0)</f>
        <v>17000</v>
      </c>
      <c r="P75" s="113">
        <f>_xlfn.XLOOKUP(G75,'Budget Worksheet'!$B$4:$B$234,'Budget Worksheet'!$U$4:$U$234,0)</f>
        <v>17000</v>
      </c>
      <c r="Q75" s="107">
        <f>MATCH(G75,'Budget Worksheet'!$B$5:$B$234,0)</f>
        <v>23</v>
      </c>
      <c r="R75" s="112">
        <f t="shared" si="5"/>
        <v>69217.651428571437</v>
      </c>
      <c r="S75" s="108"/>
    </row>
    <row r="76" spans="1:19" x14ac:dyDescent="0.25">
      <c r="A76" s="107">
        <v>73</v>
      </c>
      <c r="B76" s="105" t="s">
        <v>102</v>
      </c>
      <c r="C76" s="105" t="str">
        <f t="shared" si="6"/>
        <v>20</v>
      </c>
      <c r="D76" s="105">
        <v>200</v>
      </c>
      <c r="E76" s="106" t="s">
        <v>10</v>
      </c>
      <c r="F76" s="107" t="str">
        <f t="shared" si="4"/>
        <v>200 General and Administrative</v>
      </c>
      <c r="G76" s="105" t="s">
        <v>285</v>
      </c>
      <c r="H76" s="107" t="s">
        <v>126</v>
      </c>
      <c r="I76" s="112">
        <v>5000</v>
      </c>
      <c r="J76" s="113">
        <f>SUMIFS('Budget Worksheet'!$J$5:$J$234,'Budget Worksheet'!$B$5:$B$234,'Master Budget'!G76)</f>
        <v>5000</v>
      </c>
      <c r="K76" s="113">
        <f>_xlfn.XLOOKUP(G76,'Budget Worksheet'!$B$5:$B$234,'Budget Worksheet'!$G$5:$G$234,0)</f>
        <v>5188.5257142857135</v>
      </c>
      <c r="L76" s="113">
        <f>SUMIFS('Budget Worksheet'!$L$5:$L$234,'Budget Worksheet'!$B$5:$B$234,'Master Budget'!G76)</f>
        <v>8000</v>
      </c>
      <c r="M76" s="113">
        <f>_xlfn.XLOOKUP(G76,'Budget Worksheet'!$B$5:$B$234,'Budget Worksheet'!$N$5:$N$234,0)</f>
        <v>5000</v>
      </c>
      <c r="N76" s="113">
        <f>_xlfn.XLOOKUP(G76,'Budget Worksheet'!$B$5:$B$234,'Budget Worksheet'!$P$5:$P$234,0)</f>
        <v>8000</v>
      </c>
      <c r="O76" s="113">
        <f>_xlfn.XLOOKUP(G76,'Budget Worksheet'!$B$4:$B$234,'Budget Worksheet'!$S$4:$S$234,0)</f>
        <v>8000</v>
      </c>
      <c r="P76" s="113">
        <f>_xlfn.XLOOKUP(G76,'Budget Worksheet'!$B$4:$B$234,'Budget Worksheet'!$U$4:$U$234,0)</f>
        <v>8000</v>
      </c>
      <c r="Q76" s="107">
        <f>MATCH(G76,'Budget Worksheet'!$B$5:$B$234,0)</f>
        <v>24</v>
      </c>
      <c r="R76" s="112">
        <f t="shared" si="5"/>
        <v>36188.525714285715</v>
      </c>
      <c r="S76" s="108"/>
    </row>
    <row r="77" spans="1:19" x14ac:dyDescent="0.25">
      <c r="A77" s="107">
        <v>74</v>
      </c>
      <c r="B77" s="105" t="s">
        <v>102</v>
      </c>
      <c r="C77" s="105" t="str">
        <f t="shared" si="6"/>
        <v>20</v>
      </c>
      <c r="D77" s="105">
        <v>200</v>
      </c>
      <c r="E77" s="106" t="s">
        <v>10</v>
      </c>
      <c r="F77" s="107" t="str">
        <f t="shared" si="4"/>
        <v>200 General and Administrative</v>
      </c>
      <c r="G77" s="105" t="s">
        <v>286</v>
      </c>
      <c r="H77" s="107" t="s">
        <v>287</v>
      </c>
      <c r="I77" s="112">
        <v>2000</v>
      </c>
      <c r="J77" s="113">
        <f>SUMIFS('Budget Worksheet'!$J$5:$J$234,'Budget Worksheet'!$B$5:$B$234,'Master Budget'!G77)</f>
        <v>4600</v>
      </c>
      <c r="K77" s="113">
        <f>_xlfn.XLOOKUP(G77,'Budget Worksheet'!$B$5:$B$234,'Budget Worksheet'!$G$5:$G$234,0)</f>
        <v>4342.8857142857141</v>
      </c>
      <c r="L77" s="113">
        <f>SUMIFS('Budget Worksheet'!$L$5:$L$234,'Budget Worksheet'!$B$5:$B$234,'Master Budget'!G77)</f>
        <v>4000</v>
      </c>
      <c r="M77" s="113">
        <f>_xlfn.XLOOKUP(G77,'Budget Worksheet'!$B$5:$B$234,'Budget Worksheet'!$N$5:$N$234,0)</f>
        <v>7000</v>
      </c>
      <c r="N77" s="113">
        <f>_xlfn.XLOOKUP(G77,'Budget Worksheet'!$B$5:$B$234,'Budget Worksheet'!$P$5:$P$234,0)</f>
        <v>4500</v>
      </c>
      <c r="O77" s="113">
        <f>_xlfn.XLOOKUP(G77,'Budget Worksheet'!$B$4:$B$234,'Budget Worksheet'!$S$4:$S$234,0)</f>
        <v>4700</v>
      </c>
      <c r="P77" s="113">
        <f>_xlfn.XLOOKUP(G77,'Budget Worksheet'!$B$4:$B$234,'Budget Worksheet'!$U$4:$U$234,0)</f>
        <v>4700</v>
      </c>
      <c r="Q77" s="107">
        <f>MATCH(G77,'Budget Worksheet'!$B$5:$B$234,0)</f>
        <v>25</v>
      </c>
      <c r="R77" s="112">
        <f t="shared" si="5"/>
        <v>26442.885714285716</v>
      </c>
      <c r="S77" s="108"/>
    </row>
    <row r="78" spans="1:19" x14ac:dyDescent="0.25">
      <c r="A78" s="107">
        <v>75</v>
      </c>
      <c r="B78" s="105" t="s">
        <v>102</v>
      </c>
      <c r="C78" s="105" t="str">
        <f t="shared" si="6"/>
        <v>20</v>
      </c>
      <c r="D78" s="105">
        <v>200</v>
      </c>
      <c r="E78" s="106" t="s">
        <v>10</v>
      </c>
      <c r="F78" s="107" t="str">
        <f t="shared" si="4"/>
        <v>200 General and Administrative</v>
      </c>
      <c r="G78" s="105" t="s">
        <v>288</v>
      </c>
      <c r="H78" s="107" t="s">
        <v>130</v>
      </c>
      <c r="I78" s="112">
        <v>35000</v>
      </c>
      <c r="J78" s="113">
        <f>SUMIFS('Budget Worksheet'!$J$5:$J$234,'Budget Worksheet'!$B$5:$B$234,'Master Budget'!G78)</f>
        <v>35000</v>
      </c>
      <c r="K78" s="113">
        <f>_xlfn.XLOOKUP(G78,'Budget Worksheet'!$B$5:$B$234,'Budget Worksheet'!$G$5:$G$234,0)</f>
        <v>5412.8571428571431</v>
      </c>
      <c r="L78" s="113">
        <f>SUMIFS('Budget Worksheet'!$L$5:$L$234,'Budget Worksheet'!$B$5:$B$234,'Master Budget'!G78)</f>
        <v>35000</v>
      </c>
      <c r="M78" s="113">
        <f>_xlfn.XLOOKUP(G78,'Budget Worksheet'!$B$5:$B$234,'Budget Worksheet'!$N$5:$N$234,0)</f>
        <v>35000</v>
      </c>
      <c r="N78" s="113">
        <f>_xlfn.XLOOKUP(G78,'Budget Worksheet'!$B$5:$B$234,'Budget Worksheet'!$P$5:$P$234,0)</f>
        <v>35000</v>
      </c>
      <c r="O78" s="113">
        <f>_xlfn.XLOOKUP(G78,'Budget Worksheet'!$B$4:$B$234,'Budget Worksheet'!$S$4:$S$234,0)</f>
        <v>35000</v>
      </c>
      <c r="P78" s="113">
        <f>_xlfn.XLOOKUP(G78,'Budget Worksheet'!$B$4:$B$234,'Budget Worksheet'!$U$4:$U$234,0)</f>
        <v>35000</v>
      </c>
      <c r="Q78" s="107">
        <f>MATCH(G78,'Budget Worksheet'!$B$5:$B$234,0)</f>
        <v>26</v>
      </c>
      <c r="R78" s="112">
        <f t="shared" si="5"/>
        <v>180412.85714285716</v>
      </c>
      <c r="S78" s="108"/>
    </row>
    <row r="79" spans="1:19" x14ac:dyDescent="0.25">
      <c r="A79" s="107">
        <v>76</v>
      </c>
      <c r="B79" s="105" t="s">
        <v>102</v>
      </c>
      <c r="C79" s="105" t="str">
        <f t="shared" si="6"/>
        <v>20</v>
      </c>
      <c r="D79" s="105">
        <v>200</v>
      </c>
      <c r="E79" s="106" t="s">
        <v>10</v>
      </c>
      <c r="F79" s="107" t="str">
        <f t="shared" si="4"/>
        <v>200 General and Administrative</v>
      </c>
      <c r="G79" s="105" t="s">
        <v>289</v>
      </c>
      <c r="H79" s="107" t="s">
        <v>132</v>
      </c>
      <c r="I79" s="112">
        <v>1000</v>
      </c>
      <c r="J79" s="113">
        <f>SUMIFS('Budget Worksheet'!$J$5:$J$234,'Budget Worksheet'!$B$5:$B$234,'Master Budget'!G79)</f>
        <v>8000</v>
      </c>
      <c r="K79" s="113">
        <f>_xlfn.XLOOKUP(G79,'Budget Worksheet'!$B$5:$B$234,'Budget Worksheet'!$G$5:$G$234,0)</f>
        <v>8564.2114285714288</v>
      </c>
      <c r="L79" s="113">
        <f>SUMIFS('Budget Worksheet'!$L$5:$L$234,'Budget Worksheet'!$B$5:$B$234,'Master Budget'!G79)</f>
        <v>5000</v>
      </c>
      <c r="M79" s="113">
        <f>_xlfn.XLOOKUP(G79,'Budget Worksheet'!$B$5:$B$234,'Budget Worksheet'!$N$5:$N$234,0)</f>
        <v>10000</v>
      </c>
      <c r="N79" s="113">
        <f>_xlfn.XLOOKUP(G79,'Budget Worksheet'!$B$5:$B$234,'Budget Worksheet'!$P$5:$P$234,0)</f>
        <v>10000</v>
      </c>
      <c r="O79" s="113">
        <f>_xlfn.XLOOKUP(G79,'Budget Worksheet'!$B$4:$B$234,'Budget Worksheet'!$S$4:$S$234,0)</f>
        <v>10000</v>
      </c>
      <c r="P79" s="113">
        <f>_xlfn.XLOOKUP(G79,'Budget Worksheet'!$B$4:$B$234,'Budget Worksheet'!$U$4:$U$234,0)</f>
        <v>10000</v>
      </c>
      <c r="Q79" s="107">
        <f>MATCH(G79,'Budget Worksheet'!$B$5:$B$234,0)</f>
        <v>27</v>
      </c>
      <c r="R79" s="112">
        <f t="shared" si="5"/>
        <v>42564.211428571427</v>
      </c>
      <c r="S79" s="108"/>
    </row>
    <row r="80" spans="1:19" x14ac:dyDescent="0.25">
      <c r="A80" s="107">
        <v>77</v>
      </c>
      <c r="B80" s="105" t="s">
        <v>102</v>
      </c>
      <c r="C80" s="105" t="str">
        <f t="shared" si="6"/>
        <v>20</v>
      </c>
      <c r="D80" s="105">
        <v>200</v>
      </c>
      <c r="E80" s="106" t="s">
        <v>10</v>
      </c>
      <c r="F80" s="107" t="str">
        <f t="shared" si="4"/>
        <v>200 General and Administrative</v>
      </c>
      <c r="G80" s="105" t="s">
        <v>290</v>
      </c>
      <c r="H80" s="107" t="s">
        <v>291</v>
      </c>
      <c r="I80" s="112">
        <v>250</v>
      </c>
      <c r="J80" s="113">
        <f>SUMIFS('Budget Worksheet'!$J$5:$J$234,'Budget Worksheet'!$B$5:$B$234,'Master Budget'!G80)</f>
        <v>250</v>
      </c>
      <c r="K80" s="113">
        <f>_xlfn.XLOOKUP(G80,'Budget Worksheet'!$B$5:$B$234,'Budget Worksheet'!$G$5:$G$234,0)</f>
        <v>0</v>
      </c>
      <c r="L80" s="113">
        <f>SUMIFS('Budget Worksheet'!$L$5:$L$234,'Budget Worksheet'!$B$5:$B$234,'Master Budget'!G80)</f>
        <v>250</v>
      </c>
      <c r="M80" s="113">
        <f>_xlfn.XLOOKUP(G80,'Budget Worksheet'!$B$5:$B$234,'Budget Worksheet'!$N$5:$N$234,0)</f>
        <v>250</v>
      </c>
      <c r="N80" s="113">
        <f>_xlfn.XLOOKUP(G80,'Budget Worksheet'!$B$5:$B$234,'Budget Worksheet'!$P$5:$P$234,0)</f>
        <v>250</v>
      </c>
      <c r="O80" s="113">
        <f>_xlfn.XLOOKUP(G80,'Budget Worksheet'!$B$4:$B$234,'Budget Worksheet'!$S$4:$S$234,0)</f>
        <v>250</v>
      </c>
      <c r="P80" s="113">
        <f>_xlfn.XLOOKUP(G80,'Budget Worksheet'!$B$4:$B$234,'Budget Worksheet'!$U$4:$U$234,0)</f>
        <v>250</v>
      </c>
      <c r="Q80" s="107">
        <f>MATCH(G80,'Budget Worksheet'!$B$5:$B$234,0)</f>
        <v>28</v>
      </c>
      <c r="R80" s="112">
        <f t="shared" si="5"/>
        <v>1250</v>
      </c>
      <c r="S80" s="108"/>
    </row>
    <row r="81" spans="1:19" x14ac:dyDescent="0.25">
      <c r="A81" s="107">
        <v>78</v>
      </c>
      <c r="B81" s="105" t="s">
        <v>102</v>
      </c>
      <c r="C81" s="105" t="str">
        <f t="shared" si="6"/>
        <v>20</v>
      </c>
      <c r="D81" s="105">
        <v>200</v>
      </c>
      <c r="E81" s="106" t="s">
        <v>10</v>
      </c>
      <c r="F81" s="107" t="str">
        <f t="shared" si="4"/>
        <v>200 General and Administrative</v>
      </c>
      <c r="G81" s="105" t="s">
        <v>292</v>
      </c>
      <c r="H81" s="107" t="s">
        <v>1058</v>
      </c>
      <c r="I81" s="112">
        <v>500</v>
      </c>
      <c r="J81" s="113">
        <f>SUMIFS('Budget Worksheet'!$J$5:$J$234,'Budget Worksheet'!$B$5:$B$234,'Master Budget'!G81)</f>
        <v>500</v>
      </c>
      <c r="K81" s="113">
        <f>_xlfn.XLOOKUP(G81,'Budget Worksheet'!$B$5:$B$234,'Budget Worksheet'!$G$5:$G$234,0)</f>
        <v>849.84000000000015</v>
      </c>
      <c r="L81" s="113">
        <f>SUMIFS('Budget Worksheet'!$L$5:$L$234,'Budget Worksheet'!$B$5:$B$234,'Master Budget'!G81)</f>
        <v>500</v>
      </c>
      <c r="M81" s="113">
        <f>_xlfn.XLOOKUP(G81,'Budget Worksheet'!$B$5:$B$234,'Budget Worksheet'!$N$5:$N$234,0)</f>
        <v>500</v>
      </c>
      <c r="N81" s="113">
        <f>_xlfn.XLOOKUP(G81,'Budget Worksheet'!$B$5:$B$234,'Budget Worksheet'!$P$5:$P$234,0)</f>
        <v>500</v>
      </c>
      <c r="O81" s="113">
        <f>_xlfn.XLOOKUP(G81,'Budget Worksheet'!$B$4:$B$234,'Budget Worksheet'!$S$4:$S$234,0)</f>
        <v>758.24</v>
      </c>
      <c r="P81" s="113">
        <f>_xlfn.XLOOKUP(G81,'Budget Worksheet'!$B$4:$B$234,'Budget Worksheet'!$U$4:$U$234,0)</f>
        <v>800</v>
      </c>
      <c r="Q81" s="107">
        <f>MATCH(G81,'Budget Worksheet'!$B$5:$B$234,0)</f>
        <v>29</v>
      </c>
      <c r="R81" s="112">
        <f t="shared" si="5"/>
        <v>3349.84</v>
      </c>
      <c r="S81" s="108"/>
    </row>
    <row r="82" spans="1:19" x14ac:dyDescent="0.25">
      <c r="B82" s="105" t="s">
        <v>102</v>
      </c>
      <c r="C82" s="105" t="str">
        <f t="shared" si="6"/>
        <v>20</v>
      </c>
      <c r="D82" s="105">
        <v>200</v>
      </c>
      <c r="E82" s="106" t="s">
        <v>10</v>
      </c>
      <c r="F82" s="107" t="str">
        <f t="shared" si="4"/>
        <v>200 General and Administrative</v>
      </c>
      <c r="G82" s="105" t="s">
        <v>294</v>
      </c>
      <c r="H82" s="107" t="s">
        <v>295</v>
      </c>
      <c r="I82" s="112"/>
      <c r="J82" s="113">
        <f>SUMIFS('Budget Worksheet'!$J$5:$J$234,'Budget Worksheet'!$B$5:$B$234,'Master Budget'!G82)</f>
        <v>0</v>
      </c>
      <c r="K82" s="113"/>
      <c r="L82" s="113">
        <f>SUMIFS('Budget Worksheet'!$L$5:$L$234,'Budget Worksheet'!$B$5:$B$234,'Master Budget'!G82)</f>
        <v>0</v>
      </c>
      <c r="M82" s="113">
        <f>_xlfn.XLOOKUP(G82,'Budget Worksheet'!$B$5:$B$234,'Budget Worksheet'!$N$5:$N$234,0)</f>
        <v>0</v>
      </c>
      <c r="N82" s="113">
        <f>_xlfn.XLOOKUP(G82,'Budget Worksheet'!$B$5:$B$234,'Budget Worksheet'!$P$5:$P$234,0)</f>
        <v>0</v>
      </c>
      <c r="O82" s="113">
        <f>_xlfn.XLOOKUP(G82,'Budget Worksheet'!$B$4:$B$234,'Budget Worksheet'!$S$4:$S$234,0)</f>
        <v>10000</v>
      </c>
      <c r="P82" s="113">
        <f>_xlfn.XLOOKUP(G82,'Budget Worksheet'!$B$4:$B$234,'Budget Worksheet'!$U$4:$U$234,0)</f>
        <v>0</v>
      </c>
      <c r="Q82" s="107">
        <f>MATCH(G82,'Budget Worksheet'!$B$5:$B$234,0)</f>
        <v>30</v>
      </c>
      <c r="R82" s="112">
        <f t="shared" si="5"/>
        <v>0</v>
      </c>
      <c r="S82" s="108"/>
    </row>
    <row r="83" spans="1:19" x14ac:dyDescent="0.25">
      <c r="A83" s="107">
        <v>79</v>
      </c>
      <c r="B83" s="105" t="s">
        <v>102</v>
      </c>
      <c r="C83" s="105" t="str">
        <f t="shared" si="6"/>
        <v>20</v>
      </c>
      <c r="D83" s="105">
        <v>200</v>
      </c>
      <c r="E83" s="106" t="s">
        <v>10</v>
      </c>
      <c r="F83" s="107" t="str">
        <f t="shared" si="4"/>
        <v>200 General and Administrative</v>
      </c>
      <c r="G83" s="105" t="s">
        <v>296</v>
      </c>
      <c r="H83" s="107" t="s">
        <v>297</v>
      </c>
      <c r="I83" s="112">
        <v>4000</v>
      </c>
      <c r="J83" s="113">
        <f>SUMIFS('Budget Worksheet'!$J$5:$J$234,'Budget Worksheet'!$B$5:$B$234,'Master Budget'!G83)</f>
        <v>8000</v>
      </c>
      <c r="K83" s="113">
        <f>_xlfn.XLOOKUP(G83,'Budget Worksheet'!$B$5:$B$234,'Budget Worksheet'!$G$5:$G$234,0)</f>
        <v>10661.228571428572</v>
      </c>
      <c r="L83" s="113">
        <f>SUMIFS('Budget Worksheet'!$L$5:$L$234,'Budget Worksheet'!$B$5:$B$234,'Master Budget'!G83)</f>
        <v>8000</v>
      </c>
      <c r="M83" s="113">
        <f>_xlfn.XLOOKUP(G83,'Budget Worksheet'!$B$5:$B$234,'Budget Worksheet'!$N$5:$N$234,0)</f>
        <v>8000</v>
      </c>
      <c r="N83" s="113">
        <f>_xlfn.XLOOKUP(G83,'Budget Worksheet'!$B$5:$B$234,'Budget Worksheet'!$P$5:$P$234,0)</f>
        <v>8000</v>
      </c>
      <c r="O83" s="113">
        <f>_xlfn.XLOOKUP(G83,'Budget Worksheet'!$B$4:$B$234,'Budget Worksheet'!$S$4:$S$234,0)</f>
        <v>10798.38</v>
      </c>
      <c r="P83" s="113">
        <f>_xlfn.XLOOKUP(G83,'Budget Worksheet'!$B$4:$B$234,'Budget Worksheet'!$U$4:$U$234,0)</f>
        <v>11000</v>
      </c>
      <c r="Q83" s="107">
        <f>MATCH(G83,'Budget Worksheet'!$B$5:$B$234,0)</f>
        <v>31</v>
      </c>
      <c r="R83" s="112">
        <f t="shared" si="5"/>
        <v>46661.228571428568</v>
      </c>
      <c r="S83" s="108"/>
    </row>
    <row r="84" spans="1:19" x14ac:dyDescent="0.25">
      <c r="A84" s="107">
        <v>80</v>
      </c>
      <c r="B84" s="105" t="s">
        <v>102</v>
      </c>
      <c r="C84" s="105" t="str">
        <f t="shared" si="6"/>
        <v>20</v>
      </c>
      <c r="D84" s="105">
        <v>200</v>
      </c>
      <c r="E84" s="106" t="s">
        <v>10</v>
      </c>
      <c r="F84" s="107" t="str">
        <f t="shared" si="4"/>
        <v>200 General and Administrative</v>
      </c>
      <c r="G84" s="105" t="s">
        <v>298</v>
      </c>
      <c r="H84" s="107" t="s">
        <v>299</v>
      </c>
      <c r="I84" s="112">
        <v>0</v>
      </c>
      <c r="J84" s="113">
        <f>SUMIFS('Budget Worksheet'!$J$5:$J$234,'Budget Worksheet'!$B$5:$B$234,'Master Budget'!G84)</f>
        <v>0</v>
      </c>
      <c r="K84" s="113"/>
      <c r="L84" s="113">
        <f>SUMIFS('Budget Worksheet'!$L$5:$L$234,'Budget Worksheet'!$B$5:$B$234,'Master Budget'!G84)</f>
        <v>0</v>
      </c>
      <c r="M84" s="113">
        <f>_xlfn.XLOOKUP(G84,'Budget Worksheet'!$B$5:$B$234,'Budget Worksheet'!$N$5:$N$234,0)</f>
        <v>0</v>
      </c>
      <c r="N84" s="113">
        <f>_xlfn.XLOOKUP(G84,'Budget Worksheet'!$B$5:$B$234,'Budget Worksheet'!$P$5:$P$234,0)</f>
        <v>0</v>
      </c>
      <c r="O84" s="113">
        <f>_xlfn.XLOOKUP(G84,'Budget Worksheet'!$B$4:$B$234,'Budget Worksheet'!$S$4:$S$234,0)</f>
        <v>0</v>
      </c>
      <c r="P84" s="113">
        <f>_xlfn.XLOOKUP(G84,'Budget Worksheet'!$B$4:$B$234,'Budget Worksheet'!$U$4:$U$234,0)</f>
        <v>0</v>
      </c>
      <c r="Q84" s="107">
        <f>MATCH(G84,'Budget Worksheet'!$B$5:$B$234,0)</f>
        <v>32</v>
      </c>
      <c r="R84" s="112">
        <f t="shared" si="5"/>
        <v>0</v>
      </c>
      <c r="S84" s="108"/>
    </row>
    <row r="85" spans="1:19" x14ac:dyDescent="0.25">
      <c r="A85" s="107">
        <v>81</v>
      </c>
      <c r="B85" s="105" t="s">
        <v>102</v>
      </c>
      <c r="C85" s="105" t="str">
        <f t="shared" si="6"/>
        <v>20</v>
      </c>
      <c r="D85" s="105">
        <v>200</v>
      </c>
      <c r="E85" s="106" t="s">
        <v>10</v>
      </c>
      <c r="F85" s="107" t="str">
        <f t="shared" si="4"/>
        <v>200 General and Administrative</v>
      </c>
      <c r="G85" s="105" t="s">
        <v>300</v>
      </c>
      <c r="H85" s="107" t="s">
        <v>301</v>
      </c>
      <c r="I85" s="112">
        <v>3000</v>
      </c>
      <c r="J85" s="113">
        <f>SUMIFS('Budget Worksheet'!$J$5:$J$234,'Budget Worksheet'!$B$5:$B$234,'Master Budget'!G85)</f>
        <v>4500</v>
      </c>
      <c r="K85" s="113">
        <f>_xlfn.XLOOKUP(G85,'Budget Worksheet'!$B$5:$B$234,'Budget Worksheet'!$G$5:$G$234,0)</f>
        <v>2480.9142857142861</v>
      </c>
      <c r="L85" s="113">
        <f>SUMIFS('Budget Worksheet'!$L$5:$L$234,'Budget Worksheet'!$B$5:$B$234,'Master Budget'!G85)</f>
        <v>4500</v>
      </c>
      <c r="M85" s="113">
        <f>_xlfn.XLOOKUP(G85,'Budget Worksheet'!$B$5:$B$234,'Budget Worksheet'!$N$5:$N$234,0)</f>
        <v>4500</v>
      </c>
      <c r="N85" s="113">
        <f>_xlfn.XLOOKUP(G85,'Budget Worksheet'!$B$5:$B$234,'Budget Worksheet'!$P$5:$P$234,0)</f>
        <v>4500</v>
      </c>
      <c r="O85" s="113">
        <f>_xlfn.XLOOKUP(G85,'Budget Worksheet'!$B$4:$B$234,'Budget Worksheet'!$S$4:$S$234,0)</f>
        <v>2894.4</v>
      </c>
      <c r="P85" s="113">
        <f>_xlfn.XLOOKUP(G85,'Budget Worksheet'!$B$4:$B$234,'Budget Worksheet'!$U$4:$U$234,0)</f>
        <v>3000</v>
      </c>
      <c r="Q85" s="107">
        <f>MATCH(G85,'Budget Worksheet'!$B$5:$B$234,0)</f>
        <v>33</v>
      </c>
      <c r="R85" s="112">
        <f t="shared" si="5"/>
        <v>23480.914285714287</v>
      </c>
      <c r="S85" s="108"/>
    </row>
    <row r="86" spans="1:19" x14ac:dyDescent="0.25">
      <c r="A86" s="107">
        <v>82</v>
      </c>
      <c r="B86" s="105" t="s">
        <v>102</v>
      </c>
      <c r="C86" s="105" t="str">
        <f t="shared" si="6"/>
        <v>20</v>
      </c>
      <c r="D86" s="105">
        <v>200</v>
      </c>
      <c r="E86" s="106" t="s">
        <v>10</v>
      </c>
      <c r="F86" s="107" t="str">
        <f t="shared" si="4"/>
        <v>200 General and Administrative</v>
      </c>
      <c r="G86" s="105" t="s">
        <v>302</v>
      </c>
      <c r="H86" s="107" t="s">
        <v>303</v>
      </c>
      <c r="I86" s="112">
        <v>18000</v>
      </c>
      <c r="J86" s="113">
        <f>SUMIFS('Budget Worksheet'!$J$5:$J$234,'Budget Worksheet'!$B$5:$B$234,'Master Budget'!G86)</f>
        <v>20000</v>
      </c>
      <c r="K86" s="113">
        <f>_xlfn.XLOOKUP(G86,'Budget Worksheet'!$B$5:$B$234,'Budget Worksheet'!$G$5:$G$234,0)</f>
        <v>38632.234285714287</v>
      </c>
      <c r="L86" s="113">
        <f>SUMIFS('Budget Worksheet'!$L$5:$L$234,'Budget Worksheet'!$B$5:$B$234,'Master Budget'!G86)</f>
        <v>18000</v>
      </c>
      <c r="M86" s="113">
        <f>_xlfn.XLOOKUP(G86,'Budget Worksheet'!$B$5:$B$234,'Budget Worksheet'!$N$5:$N$234,0)</f>
        <v>40000</v>
      </c>
      <c r="N86" s="113">
        <f>_xlfn.XLOOKUP(G86,'Budget Worksheet'!$B$5:$B$234,'Budget Worksheet'!$P$5:$P$234,0)</f>
        <v>20000</v>
      </c>
      <c r="O86" s="113">
        <f>_xlfn.XLOOKUP(G86,'Budget Worksheet'!$B$4:$B$234,'Budget Worksheet'!$S$4:$S$234,0)</f>
        <v>25000</v>
      </c>
      <c r="P86" s="113">
        <f>_xlfn.XLOOKUP(G86,'Budget Worksheet'!$B$4:$B$234,'Budget Worksheet'!$U$4:$U$234,0)</f>
        <v>25000</v>
      </c>
      <c r="Q86" s="107">
        <f>MATCH(G86,'Budget Worksheet'!$B$5:$B$234,0)</f>
        <v>34</v>
      </c>
      <c r="R86" s="112">
        <f t="shared" si="5"/>
        <v>154632.23428571428</v>
      </c>
      <c r="S86" s="108"/>
    </row>
    <row r="87" spans="1:19" x14ac:dyDescent="0.25">
      <c r="A87" s="107">
        <v>83</v>
      </c>
      <c r="B87" s="105" t="s">
        <v>102</v>
      </c>
      <c r="C87" s="105" t="str">
        <f t="shared" si="6"/>
        <v>20</v>
      </c>
      <c r="D87" s="105">
        <v>200</v>
      </c>
      <c r="E87" s="106" t="s">
        <v>10</v>
      </c>
      <c r="F87" s="107" t="str">
        <f t="shared" si="4"/>
        <v>200 General and Administrative</v>
      </c>
      <c r="G87" s="105" t="s">
        <v>304</v>
      </c>
      <c r="H87" s="107" t="s">
        <v>305</v>
      </c>
      <c r="I87" s="112">
        <v>0</v>
      </c>
      <c r="J87" s="113">
        <f>SUMIFS('Budget Worksheet'!$J$5:$J$234,'Budget Worksheet'!$B$5:$B$234,'Master Budget'!G87)</f>
        <v>0</v>
      </c>
      <c r="K87" s="113"/>
      <c r="L87" s="113">
        <f>SUMIFS('Budget Worksheet'!$L$5:$L$234,'Budget Worksheet'!$B$5:$B$234,'Master Budget'!G87)</f>
        <v>0</v>
      </c>
      <c r="M87" s="113">
        <f>_xlfn.XLOOKUP(G87,'Budget Worksheet'!$B$5:$B$234,'Budget Worksheet'!$N$5:$N$234,0)</f>
        <v>0</v>
      </c>
      <c r="N87" s="113">
        <f>_xlfn.XLOOKUP(G87,'Budget Worksheet'!$B$5:$B$234,'Budget Worksheet'!$P$5:$P$234,0)</f>
        <v>0</v>
      </c>
      <c r="O87" s="113">
        <f>_xlfn.XLOOKUP(G87,'Budget Worksheet'!$B$4:$B$234,'Budget Worksheet'!$S$4:$S$234,0)</f>
        <v>0</v>
      </c>
      <c r="P87" s="113">
        <f>_xlfn.XLOOKUP(G87,'Budget Worksheet'!$B$4:$B$234,'Budget Worksheet'!$U$4:$U$234,0)</f>
        <v>0</v>
      </c>
      <c r="Q87" s="107">
        <f>MATCH(G87,'Budget Worksheet'!$B$5:$B$234,0)</f>
        <v>35</v>
      </c>
      <c r="R87" s="112">
        <f t="shared" si="5"/>
        <v>0</v>
      </c>
      <c r="S87" s="108"/>
    </row>
    <row r="88" spans="1:19" x14ac:dyDescent="0.25">
      <c r="A88" s="107">
        <v>84</v>
      </c>
      <c r="B88" s="105" t="s">
        <v>102</v>
      </c>
      <c r="C88" s="105" t="str">
        <f t="shared" si="6"/>
        <v>20</v>
      </c>
      <c r="D88" s="105">
        <v>500</v>
      </c>
      <c r="E88" s="106" t="s">
        <v>11</v>
      </c>
      <c r="F88" s="107" t="str">
        <f t="shared" si="4"/>
        <v>500 Repairs and Maintenance</v>
      </c>
      <c r="G88" s="105" t="s">
        <v>306</v>
      </c>
      <c r="H88" s="107" t="s">
        <v>432</v>
      </c>
      <c r="I88" s="112">
        <v>0</v>
      </c>
      <c r="J88" s="113">
        <f>SUMIFS('Budget Worksheet'!$J$5:$J$234,'Budget Worksheet'!$B$5:$B$234,'Master Budget'!G88)</f>
        <v>1500</v>
      </c>
      <c r="K88" s="113">
        <f>_xlfn.XLOOKUP(G88,'Budget Worksheet'!$B$5:$B$234,'Budget Worksheet'!$G$5:$G$234,0)</f>
        <v>1062.8571428571429</v>
      </c>
      <c r="L88" s="113">
        <f>SUMIFS('Budget Worksheet'!$L$5:$L$234,'Budget Worksheet'!$B$5:$B$234,'Master Budget'!G88)</f>
        <v>1500</v>
      </c>
      <c r="M88" s="113">
        <f>_xlfn.XLOOKUP(G88,'Budget Worksheet'!$B$5:$B$234,'Budget Worksheet'!$N$5:$N$234,0)</f>
        <v>1500</v>
      </c>
      <c r="N88" s="113">
        <f>_xlfn.XLOOKUP(G88,'Budget Worksheet'!$B$5:$B$234,'Budget Worksheet'!$P$5:$P$234,0)</f>
        <v>5500</v>
      </c>
      <c r="O88" s="113">
        <f>_xlfn.XLOOKUP(G88,'Budget Worksheet'!$B$4:$B$234,'Budget Worksheet'!$S$4:$S$234,0)</f>
        <v>5500</v>
      </c>
      <c r="P88" s="113">
        <f>_xlfn.XLOOKUP(G88,'Budget Worksheet'!$B$4:$B$234,'Budget Worksheet'!$U$4:$U$234,0)</f>
        <v>5500</v>
      </c>
      <c r="Q88" s="107">
        <f>MATCH(G88,'Budget Worksheet'!$B$5:$B$234,0)</f>
        <v>36</v>
      </c>
      <c r="R88" s="112">
        <f t="shared" si="5"/>
        <v>11062.857142857143</v>
      </c>
      <c r="S88" s="108"/>
    </row>
    <row r="89" spans="1:19" x14ac:dyDescent="0.25">
      <c r="A89" s="107">
        <v>85</v>
      </c>
      <c r="B89" s="105" t="s">
        <v>102</v>
      </c>
      <c r="C89" s="105" t="str">
        <f t="shared" si="6"/>
        <v>20</v>
      </c>
      <c r="D89" s="105">
        <v>200</v>
      </c>
      <c r="E89" s="106" t="s">
        <v>10</v>
      </c>
      <c r="F89" s="107" t="str">
        <f t="shared" si="4"/>
        <v>200 General and Administrative</v>
      </c>
      <c r="G89" s="177" t="s">
        <v>1059</v>
      </c>
      <c r="H89" s="178" t="s">
        <v>386</v>
      </c>
      <c r="I89" s="112">
        <v>0</v>
      </c>
      <c r="J89" s="113">
        <f>SUMIFS('Budget Worksheet'!$J$5:$J$234,'Budget Worksheet'!$B$5:$B$234,'Master Budget'!G89)</f>
        <v>0</v>
      </c>
      <c r="K89" s="113"/>
      <c r="L89" s="113">
        <f>SUMIFS('Budget Worksheet'!$L$5:$L$234,'Budget Worksheet'!$B$5:$B$234,'Master Budget'!G89)</f>
        <v>0</v>
      </c>
      <c r="M89" s="113">
        <f>_xlfn.XLOOKUP(G89,'Budget Worksheet'!$B$5:$B$234,'Budget Worksheet'!$N$5:$N$234,0)</f>
        <v>0</v>
      </c>
      <c r="N89" s="113">
        <f>_xlfn.XLOOKUP(G89,'Budget Worksheet'!$B$5:$B$234,'Budget Worksheet'!$P$5:$P$234,0)</f>
        <v>0</v>
      </c>
      <c r="O89" s="113">
        <f>_xlfn.XLOOKUP(G89,'Budget Worksheet'!$B$4:$B$234,'Budget Worksheet'!$S$4:$S$234,0)</f>
        <v>0</v>
      </c>
      <c r="P89" s="113">
        <f>_xlfn.XLOOKUP(G89,'Budget Worksheet'!$B$4:$B$234,'Budget Worksheet'!$U$4:$U$234,0)</f>
        <v>0</v>
      </c>
      <c r="Q89" s="107" t="e">
        <f>MATCH(G89,'Budget Worksheet'!$B$5:$B$234,0)</f>
        <v>#N/A</v>
      </c>
      <c r="R89" s="112">
        <f t="shared" si="5"/>
        <v>0</v>
      </c>
      <c r="S89" s="108"/>
    </row>
    <row r="90" spans="1:19" x14ac:dyDescent="0.25">
      <c r="A90" s="107">
        <v>86</v>
      </c>
      <c r="B90" s="105" t="s">
        <v>102</v>
      </c>
      <c r="C90" s="105" t="str">
        <f t="shared" si="6"/>
        <v>20</v>
      </c>
      <c r="D90" s="105">
        <v>500</v>
      </c>
      <c r="E90" s="106" t="s">
        <v>11</v>
      </c>
      <c r="F90" s="107" t="str">
        <f t="shared" si="4"/>
        <v>500 Repairs and Maintenance</v>
      </c>
      <c r="G90" s="105" t="s">
        <v>308</v>
      </c>
      <c r="H90" s="107" t="s">
        <v>388</v>
      </c>
      <c r="I90" s="112">
        <v>25000</v>
      </c>
      <c r="J90" s="113">
        <f>SUMIFS('Budget Worksheet'!$J$5:$J$234,'Budget Worksheet'!$B$5:$B$234,'Master Budget'!G90)</f>
        <v>25000</v>
      </c>
      <c r="K90" s="113">
        <f>_xlfn.XLOOKUP(G90,'Budget Worksheet'!$B$5:$B$234,'Budget Worksheet'!$G$5:$G$234,0)</f>
        <v>15961.217142857142</v>
      </c>
      <c r="L90" s="113">
        <f>SUMIFS('Budget Worksheet'!$L$5:$L$234,'Budget Worksheet'!$B$5:$B$234,'Master Budget'!G90)</f>
        <v>25000</v>
      </c>
      <c r="M90" s="113">
        <f>_xlfn.XLOOKUP(G90,'Budget Worksheet'!$B$5:$B$234,'Budget Worksheet'!$N$5:$N$234,0)</f>
        <v>25000</v>
      </c>
      <c r="N90" s="113">
        <f>_xlfn.XLOOKUP(G90,'Budget Worksheet'!$B$5:$B$234,'Budget Worksheet'!$P$5:$P$234,0)</f>
        <v>25000</v>
      </c>
      <c r="O90" s="113">
        <f>_xlfn.XLOOKUP(G90,'Budget Worksheet'!$B$4:$B$234,'Budget Worksheet'!$S$4:$S$234,0)</f>
        <v>25000</v>
      </c>
      <c r="P90" s="113">
        <f>_xlfn.XLOOKUP(G90,'Budget Worksheet'!$B$4:$B$234,'Budget Worksheet'!$U$4:$U$234,0)</f>
        <v>20000</v>
      </c>
      <c r="Q90" s="107">
        <f>MATCH(G90,'Budget Worksheet'!$B$5:$B$234,0)</f>
        <v>37</v>
      </c>
      <c r="R90" s="112">
        <f t="shared" si="5"/>
        <v>140961.21714285715</v>
      </c>
      <c r="S90" s="108"/>
    </row>
    <row r="91" spans="1:19" x14ac:dyDescent="0.25">
      <c r="A91" s="107">
        <v>87</v>
      </c>
      <c r="B91" s="105" t="s">
        <v>102</v>
      </c>
      <c r="C91" s="105" t="str">
        <f t="shared" si="6"/>
        <v>20</v>
      </c>
      <c r="D91" s="105">
        <v>500</v>
      </c>
      <c r="E91" s="106" t="s">
        <v>11</v>
      </c>
      <c r="F91" s="107" t="str">
        <f t="shared" si="4"/>
        <v>500 Repairs and Maintenance</v>
      </c>
      <c r="G91" s="105" t="s">
        <v>310</v>
      </c>
      <c r="H91" s="107" t="s">
        <v>311</v>
      </c>
      <c r="I91" s="112">
        <v>8000</v>
      </c>
      <c r="J91" s="113">
        <f>SUMIFS('Budget Worksheet'!$J$5:$J$234,'Budget Worksheet'!$B$5:$B$234,'Master Budget'!G91)</f>
        <v>8000</v>
      </c>
      <c r="K91" s="113">
        <f>_xlfn.XLOOKUP(G91,'Budget Worksheet'!$B$5:$B$234,'Budget Worksheet'!$G$5:$G$234,0)</f>
        <v>8311.062857142857</v>
      </c>
      <c r="L91" s="113">
        <f>SUMIFS('Budget Worksheet'!$L$5:$L$234,'Budget Worksheet'!$B$5:$B$234,'Master Budget'!G91)</f>
        <v>8000</v>
      </c>
      <c r="M91" s="113">
        <f>_xlfn.XLOOKUP(G91,'Budget Worksheet'!$B$5:$B$234,'Budget Worksheet'!$N$5:$N$234,0)</f>
        <v>8000</v>
      </c>
      <c r="N91" s="113">
        <f>_xlfn.XLOOKUP(G91,'Budget Worksheet'!$B$5:$B$234,'Budget Worksheet'!$P$5:$P$234,0)</f>
        <v>8000</v>
      </c>
      <c r="O91" s="113">
        <f>_xlfn.XLOOKUP(G91,'Budget Worksheet'!$B$4:$B$234,'Budget Worksheet'!$S$4:$S$234,0)</f>
        <v>8000</v>
      </c>
      <c r="P91" s="113">
        <f>_xlfn.XLOOKUP(G91,'Budget Worksheet'!$B$4:$B$234,'Budget Worksheet'!$U$4:$U$234,0)</f>
        <v>8500</v>
      </c>
      <c r="Q91" s="107">
        <f>MATCH(G91,'Budget Worksheet'!$B$5:$B$234,0)</f>
        <v>38</v>
      </c>
      <c r="R91" s="112">
        <f t="shared" si="5"/>
        <v>48311.062857142853</v>
      </c>
      <c r="S91" s="108"/>
    </row>
    <row r="92" spans="1:19" x14ac:dyDescent="0.25">
      <c r="A92" s="107">
        <v>88</v>
      </c>
      <c r="B92" s="105" t="s">
        <v>102</v>
      </c>
      <c r="C92" s="105" t="str">
        <f t="shared" si="6"/>
        <v>20</v>
      </c>
      <c r="D92" s="105">
        <v>500</v>
      </c>
      <c r="E92" s="106" t="s">
        <v>11</v>
      </c>
      <c r="F92" s="107" t="str">
        <f t="shared" si="4"/>
        <v>500 Repairs and Maintenance</v>
      </c>
      <c r="G92" s="105" t="s">
        <v>312</v>
      </c>
      <c r="H92" s="107" t="s">
        <v>313</v>
      </c>
      <c r="I92" s="112">
        <v>10000</v>
      </c>
      <c r="J92" s="113">
        <f>SUMIFS('Budget Worksheet'!$J$5:$J$234,'Budget Worksheet'!$B$5:$B$234,'Master Budget'!G92)</f>
        <v>10000</v>
      </c>
      <c r="K92" s="113">
        <f>_xlfn.XLOOKUP(G92,'Budget Worksheet'!$B$5:$B$234,'Budget Worksheet'!$G$5:$G$234,0)</f>
        <v>11516.794285714286</v>
      </c>
      <c r="L92" s="113">
        <f>SUMIFS('Budget Worksheet'!$L$5:$L$234,'Budget Worksheet'!$B$5:$B$234,'Master Budget'!G92)</f>
        <v>20000</v>
      </c>
      <c r="M92" s="113">
        <f>_xlfn.XLOOKUP(G92,'Budget Worksheet'!$B$5:$B$234,'Budget Worksheet'!$N$5:$N$234,0)</f>
        <v>10000</v>
      </c>
      <c r="N92" s="113">
        <f>_xlfn.XLOOKUP(G92,'Budget Worksheet'!$B$5:$B$234,'Budget Worksheet'!$P$5:$P$234,0)</f>
        <v>20000</v>
      </c>
      <c r="O92" s="113">
        <f>_xlfn.XLOOKUP(G92,'Budget Worksheet'!$B$4:$B$234,'Budget Worksheet'!$S$4:$S$234,0)</f>
        <v>12570</v>
      </c>
      <c r="P92" s="113">
        <f>_xlfn.XLOOKUP(G92,'Budget Worksheet'!$B$4:$B$234,'Budget Worksheet'!$U$4:$U$234,0)</f>
        <v>15000</v>
      </c>
      <c r="Q92" s="107">
        <f>MATCH(G92,'Budget Worksheet'!$B$5:$B$234,0)</f>
        <v>39</v>
      </c>
      <c r="R92" s="112">
        <f t="shared" si="5"/>
        <v>81516.794285714277</v>
      </c>
      <c r="S92" s="108"/>
    </row>
    <row r="93" spans="1:19" x14ac:dyDescent="0.25">
      <c r="A93" s="107">
        <v>89</v>
      </c>
      <c r="B93" s="105" t="s">
        <v>102</v>
      </c>
      <c r="C93" s="105" t="str">
        <f t="shared" si="6"/>
        <v>20</v>
      </c>
      <c r="D93" s="105">
        <v>500</v>
      </c>
      <c r="E93" s="106" t="s">
        <v>11</v>
      </c>
      <c r="F93" s="107" t="str">
        <f t="shared" si="4"/>
        <v>500 Repairs and Maintenance</v>
      </c>
      <c r="G93" s="177" t="s">
        <v>1060</v>
      </c>
      <c r="H93" s="178" t="s">
        <v>144</v>
      </c>
      <c r="I93" s="112">
        <v>0</v>
      </c>
      <c r="J93" s="113">
        <f>SUMIFS('Budget Worksheet'!$J$5:$J$234,'Budget Worksheet'!$B$5:$B$234,'Master Budget'!G93)</f>
        <v>0</v>
      </c>
      <c r="K93" s="113"/>
      <c r="L93" s="113">
        <f>SUMIFS('Budget Worksheet'!$L$5:$L$234,'Budget Worksheet'!$B$5:$B$234,'Master Budget'!G93)</f>
        <v>0</v>
      </c>
      <c r="M93" s="113">
        <f>_xlfn.XLOOKUP(G93,'Budget Worksheet'!$B$5:$B$234,'Budget Worksheet'!$N$5:$N$234,0)</f>
        <v>0</v>
      </c>
      <c r="N93" s="113">
        <f>_xlfn.XLOOKUP(G93,'Budget Worksheet'!$B$5:$B$234,'Budget Worksheet'!$P$5:$P$234,0)</f>
        <v>0</v>
      </c>
      <c r="O93" s="113">
        <f>_xlfn.XLOOKUP(G93,'Budget Worksheet'!$B$4:$B$234,'Budget Worksheet'!$S$4:$S$234,0)</f>
        <v>0</v>
      </c>
      <c r="P93" s="113">
        <f>_xlfn.XLOOKUP(G93,'Budget Worksheet'!$B$4:$B$234,'Budget Worksheet'!$U$4:$U$234,0)</f>
        <v>0</v>
      </c>
      <c r="Q93" s="107" t="e">
        <f>MATCH(G93,'Budget Worksheet'!$B$5:$B$234,0)</f>
        <v>#N/A</v>
      </c>
      <c r="R93" s="112">
        <f t="shared" si="5"/>
        <v>0</v>
      </c>
      <c r="S93" s="108"/>
    </row>
    <row r="94" spans="1:19" x14ac:dyDescent="0.25">
      <c r="A94" s="107">
        <v>90</v>
      </c>
      <c r="B94" s="105" t="s">
        <v>102</v>
      </c>
      <c r="C94" s="105" t="str">
        <f t="shared" si="6"/>
        <v>20</v>
      </c>
      <c r="D94" s="105">
        <v>600</v>
      </c>
      <c r="E94" s="106" t="s">
        <v>13</v>
      </c>
      <c r="F94" s="107" t="str">
        <f t="shared" si="4"/>
        <v>600 Bad Debt</v>
      </c>
      <c r="G94" s="105" t="s">
        <v>314</v>
      </c>
      <c r="H94" s="107" t="s">
        <v>315</v>
      </c>
      <c r="I94" s="112">
        <v>0</v>
      </c>
      <c r="J94" s="113">
        <f>SUMIFS('Budget Worksheet'!$J$5:$J$234,'Budget Worksheet'!$B$5:$B$234,'Master Budget'!G94)</f>
        <v>0</v>
      </c>
      <c r="K94" s="113"/>
      <c r="L94" s="113">
        <f>SUMIFS('Budget Worksheet'!$L$5:$L$234,'Budget Worksheet'!$B$5:$B$234,'Master Budget'!G94)</f>
        <v>0</v>
      </c>
      <c r="M94" s="113">
        <f>_xlfn.XLOOKUP(G94,'Budget Worksheet'!$B$5:$B$234,'Budget Worksheet'!$N$5:$N$234,0)</f>
        <v>0</v>
      </c>
      <c r="N94" s="113">
        <f>_xlfn.XLOOKUP(G94,'Budget Worksheet'!$B$5:$B$234,'Budget Worksheet'!$P$5:$P$234,0)</f>
        <v>0</v>
      </c>
      <c r="O94" s="113">
        <f>_xlfn.XLOOKUP(G94,'Budget Worksheet'!$B$4:$B$234,'Budget Worksheet'!$S$4:$S$234,0)</f>
        <v>0</v>
      </c>
      <c r="P94" s="113">
        <f>_xlfn.XLOOKUP(G94,'Budget Worksheet'!$B$4:$B$234,'Budget Worksheet'!$U$4:$U$234,0)</f>
        <v>0</v>
      </c>
      <c r="Q94" s="107">
        <f>MATCH(G94,'Budget Worksheet'!$B$5:$B$234,0)</f>
        <v>40</v>
      </c>
      <c r="R94" s="112">
        <f t="shared" si="5"/>
        <v>0</v>
      </c>
      <c r="S94" s="108"/>
    </row>
    <row r="95" spans="1:19" x14ac:dyDescent="0.25">
      <c r="A95" s="107">
        <v>91</v>
      </c>
      <c r="B95" s="105" t="s">
        <v>102</v>
      </c>
      <c r="C95" s="105" t="str">
        <f t="shared" si="6"/>
        <v>20</v>
      </c>
      <c r="D95" s="105">
        <v>200</v>
      </c>
      <c r="E95" s="106" t="s">
        <v>10</v>
      </c>
      <c r="F95" s="107" t="str">
        <f t="shared" si="4"/>
        <v>200 General and Administrative</v>
      </c>
      <c r="G95" s="105" t="s">
        <v>316</v>
      </c>
      <c r="H95" s="107" t="s">
        <v>317</v>
      </c>
      <c r="I95" s="112">
        <v>12530</v>
      </c>
      <c r="J95" s="113">
        <f>SUMIFS('Budget Worksheet'!$J$5:$J$234,'Budget Worksheet'!$B$5:$B$234,'Master Budget'!G95)</f>
        <v>12531</v>
      </c>
      <c r="K95" s="113">
        <f>_xlfn.XLOOKUP(G95,'Budget Worksheet'!$B$5:$B$234,'Budget Worksheet'!$G$5:$G$234,0)</f>
        <v>0</v>
      </c>
      <c r="L95" s="113">
        <f>SUMIFS('Budget Worksheet'!$L$5:$L$234,'Budget Worksheet'!$B$5:$B$234,'Master Budget'!G95)</f>
        <v>12531</v>
      </c>
      <c r="M95" s="113">
        <f>_xlfn.XLOOKUP(G95,'Budget Worksheet'!$B$5:$B$234,'Budget Worksheet'!$N$5:$N$234,0)</f>
        <v>25574.93</v>
      </c>
      <c r="N95" s="113">
        <f>_xlfn.XLOOKUP(G95,'Budget Worksheet'!$B$5:$B$234,'Budget Worksheet'!$P$5:$P$234,0)</f>
        <v>26070.91</v>
      </c>
      <c r="O95" s="113">
        <f>_xlfn.XLOOKUP(G95,'Budget Worksheet'!$B$4:$B$234,'Budget Worksheet'!$S$4:$S$234,0)</f>
        <v>24470.49</v>
      </c>
      <c r="P95" s="113">
        <f>_xlfn.XLOOKUP(G95,'Budget Worksheet'!$B$4:$B$234,'Budget Worksheet'!$U$4:$U$234,0)</f>
        <v>24470.49</v>
      </c>
      <c r="Q95" s="107">
        <f>MATCH(G95,'Budget Worksheet'!$B$5:$B$234,0)</f>
        <v>41</v>
      </c>
      <c r="R95" s="112">
        <f t="shared" si="5"/>
        <v>89237.84</v>
      </c>
      <c r="S95" s="108"/>
    </row>
    <row r="96" spans="1:19" x14ac:dyDescent="0.25">
      <c r="A96" s="107">
        <v>92</v>
      </c>
      <c r="B96" s="105" t="s">
        <v>102</v>
      </c>
      <c r="C96" s="105" t="str">
        <f t="shared" si="6"/>
        <v>20</v>
      </c>
      <c r="D96" s="105">
        <v>200</v>
      </c>
      <c r="E96" s="106" t="s">
        <v>10</v>
      </c>
      <c r="F96" s="107" t="str">
        <f t="shared" si="4"/>
        <v>200 General and Administrative</v>
      </c>
      <c r="G96" s="105" t="s">
        <v>318</v>
      </c>
      <c r="H96" s="107" t="s">
        <v>319</v>
      </c>
      <c r="I96" s="112">
        <v>0</v>
      </c>
      <c r="J96" s="113">
        <f>SUMIFS('Budget Worksheet'!$J$5:$J$234,'Budget Worksheet'!$B$5:$B$234,'Master Budget'!G96)</f>
        <v>0</v>
      </c>
      <c r="K96" s="113"/>
      <c r="L96" s="113">
        <f>SUMIFS('Budget Worksheet'!$L$5:$L$234,'Budget Worksheet'!$B$5:$B$234,'Master Budget'!G96)</f>
        <v>0</v>
      </c>
      <c r="M96" s="113">
        <f>_xlfn.XLOOKUP(G96,'Budget Worksheet'!$B$5:$B$234,'Budget Worksheet'!$N$5:$N$234,0)</f>
        <v>0</v>
      </c>
      <c r="N96" s="113">
        <f>_xlfn.XLOOKUP(G96,'Budget Worksheet'!$B$5:$B$234,'Budget Worksheet'!$P$5:$P$234,0)</f>
        <v>0</v>
      </c>
      <c r="O96" s="113">
        <f>_xlfn.XLOOKUP(G96,'Budget Worksheet'!$B$4:$B$234,'Budget Worksheet'!$S$4:$S$234,0)</f>
        <v>0</v>
      </c>
      <c r="P96" s="113">
        <f>_xlfn.XLOOKUP(G96,'Budget Worksheet'!$B$4:$B$234,'Budget Worksheet'!$U$4:$U$234,0)</f>
        <v>0</v>
      </c>
      <c r="Q96" s="107">
        <f>MATCH(G96,'Budget Worksheet'!$B$5:$B$234,0)</f>
        <v>42</v>
      </c>
      <c r="R96" s="112">
        <f t="shared" si="5"/>
        <v>0</v>
      </c>
      <c r="S96" s="108"/>
    </row>
    <row r="97" spans="1:19" x14ac:dyDescent="0.25">
      <c r="A97" s="107">
        <v>93</v>
      </c>
      <c r="B97" s="105" t="s">
        <v>102</v>
      </c>
      <c r="C97" s="105" t="str">
        <f t="shared" si="6"/>
        <v>20</v>
      </c>
      <c r="D97" s="105">
        <v>200</v>
      </c>
      <c r="E97" s="106" t="s">
        <v>10</v>
      </c>
      <c r="F97" s="107" t="str">
        <f t="shared" si="4"/>
        <v>200 General and Administrative</v>
      </c>
      <c r="G97" s="105" t="s">
        <v>320</v>
      </c>
      <c r="H97" s="107" t="s">
        <v>244</v>
      </c>
      <c r="I97" s="112">
        <v>6600</v>
      </c>
      <c r="J97" s="113">
        <f>SUMIFS('Budget Worksheet'!$J$5:$J$234,'Budget Worksheet'!$B$5:$B$234,'Master Budget'!G97)</f>
        <v>6600</v>
      </c>
      <c r="K97" s="113">
        <f>_xlfn.XLOOKUP(G97,'Budget Worksheet'!$B$5:$B$234,'Budget Worksheet'!$G$5:$G$234,0)</f>
        <v>0</v>
      </c>
      <c r="L97" s="113">
        <f>SUMIFS('Budget Worksheet'!$L$5:$L$234,'Budget Worksheet'!$B$5:$B$234,'Master Budget'!G97)</f>
        <v>6600</v>
      </c>
      <c r="M97" s="113">
        <f>_xlfn.XLOOKUP(G97,'Budget Worksheet'!$B$5:$B$234,'Budget Worksheet'!$N$5:$N$234,0)</f>
        <v>6600</v>
      </c>
      <c r="N97" s="113">
        <f>_xlfn.XLOOKUP(G97,'Budget Worksheet'!$B$5:$B$234,'Budget Worksheet'!$P$5:$P$234,0)</f>
        <v>0</v>
      </c>
      <c r="O97" s="113">
        <f>_xlfn.XLOOKUP(G97,'Budget Worksheet'!$B$4:$B$234,'Budget Worksheet'!$S$4:$S$234,0)</f>
        <v>0</v>
      </c>
      <c r="P97" s="113">
        <f>_xlfn.XLOOKUP(G97,'Budget Worksheet'!$B$4:$B$234,'Budget Worksheet'!$U$4:$U$234,0)</f>
        <v>0</v>
      </c>
      <c r="Q97" s="107">
        <f>MATCH(G97,'Budget Worksheet'!$B$5:$B$234,0)</f>
        <v>43</v>
      </c>
      <c r="R97" s="112">
        <f t="shared" si="5"/>
        <v>26400</v>
      </c>
      <c r="S97" s="108"/>
    </row>
    <row r="98" spans="1:19" x14ac:dyDescent="0.25">
      <c r="A98" s="107">
        <v>94</v>
      </c>
      <c r="B98" s="105" t="s">
        <v>102</v>
      </c>
      <c r="C98" s="105" t="str">
        <f t="shared" si="6"/>
        <v>20</v>
      </c>
      <c r="D98" s="105">
        <v>200</v>
      </c>
      <c r="E98" s="106" t="s">
        <v>10</v>
      </c>
      <c r="F98" s="107" t="str">
        <f t="shared" si="4"/>
        <v>200 General and Administrative</v>
      </c>
      <c r="G98" s="105" t="s">
        <v>321</v>
      </c>
      <c r="H98" s="107" t="s">
        <v>322</v>
      </c>
      <c r="I98" s="112">
        <v>6500</v>
      </c>
      <c r="J98" s="113">
        <f>SUMIFS('Budget Worksheet'!$J$5:$J$234,'Budget Worksheet'!$B$5:$B$234,'Master Budget'!G98)</f>
        <v>6500</v>
      </c>
      <c r="K98" s="113">
        <f>_xlfn.XLOOKUP(G98,'Budget Worksheet'!$B$5:$B$234,'Budget Worksheet'!$G$5:$G$234,0)</f>
        <v>0</v>
      </c>
      <c r="L98" s="113">
        <f>SUMIFS('Budget Worksheet'!$L$5:$L$234,'Budget Worksheet'!$B$5:$B$234,'Master Budget'!G98)</f>
        <v>0</v>
      </c>
      <c r="M98" s="113">
        <f>_xlfn.XLOOKUP(G98,'Budget Worksheet'!$B$5:$B$234,'Budget Worksheet'!$N$5:$N$234,0)</f>
        <v>6500</v>
      </c>
      <c r="N98" s="113">
        <f>_xlfn.XLOOKUP(G98,'Budget Worksheet'!$B$5:$B$234,'Budget Worksheet'!$P$5:$P$234,0)</f>
        <v>0</v>
      </c>
      <c r="O98" s="113">
        <f>_xlfn.XLOOKUP(G98,'Budget Worksheet'!$B$4:$B$234,'Budget Worksheet'!$S$4:$S$234,0)</f>
        <v>0</v>
      </c>
      <c r="P98" s="113">
        <f>_xlfn.XLOOKUP(G98,'Budget Worksheet'!$B$4:$B$234,'Budget Worksheet'!$U$4:$U$234,0)</f>
        <v>0</v>
      </c>
      <c r="Q98" s="107">
        <f>MATCH(G98,'Budget Worksheet'!$B$5:$B$234,0)</f>
        <v>44</v>
      </c>
      <c r="R98" s="112">
        <f t="shared" si="5"/>
        <v>19500</v>
      </c>
      <c r="S98" s="108"/>
    </row>
    <row r="99" spans="1:19" x14ac:dyDescent="0.25">
      <c r="A99" s="107">
        <v>95</v>
      </c>
      <c r="B99" s="105" t="s">
        <v>102</v>
      </c>
      <c r="C99" s="105" t="str">
        <f t="shared" si="6"/>
        <v>20</v>
      </c>
      <c r="D99" s="105">
        <v>970</v>
      </c>
      <c r="E99" s="106" t="s">
        <v>884</v>
      </c>
      <c r="F99" s="107" t="str">
        <f t="shared" si="4"/>
        <v>970 Debt Principle Payments</v>
      </c>
      <c r="G99" s="105" t="s">
        <v>323</v>
      </c>
      <c r="H99" s="107" t="s">
        <v>240</v>
      </c>
      <c r="I99" s="112">
        <v>0</v>
      </c>
      <c r="J99" s="113">
        <f>SUMIFS('Budget Worksheet'!$J$5:$J$234,'Budget Worksheet'!$B$5:$B$234,'Master Budget'!G99)</f>
        <v>0</v>
      </c>
      <c r="K99" s="113"/>
      <c r="L99" s="113">
        <f>SUMIFS('Budget Worksheet'!$L$5:$L$234,'Budget Worksheet'!$B$5:$B$234,'Master Budget'!G99)</f>
        <v>0</v>
      </c>
      <c r="M99" s="113">
        <f>_xlfn.XLOOKUP(G99,'Budget Worksheet'!$B$5:$B$234,'Budget Worksheet'!$N$5:$N$234,0)</f>
        <v>0</v>
      </c>
      <c r="N99" s="113">
        <f>_xlfn.XLOOKUP(G99,'Budget Worksheet'!$B$5:$B$234,'Budget Worksheet'!$P$5:$P$234,0)</f>
        <v>0</v>
      </c>
      <c r="O99" s="113">
        <f>_xlfn.XLOOKUP(G99,'Budget Worksheet'!$B$4:$B$234,'Budget Worksheet'!$S$4:$S$234,0)</f>
        <v>20552</v>
      </c>
      <c r="P99" s="113">
        <f>_xlfn.XLOOKUP(G99,'Budget Worksheet'!$B$4:$B$234,'Budget Worksheet'!$U$4:$U$234,0)</f>
        <v>21531.4</v>
      </c>
      <c r="Q99" s="107">
        <f>MATCH(G99,'Budget Worksheet'!$B$5:$B$234,0)</f>
        <v>45</v>
      </c>
      <c r="R99" s="112">
        <f t="shared" si="5"/>
        <v>0</v>
      </c>
      <c r="S99" s="108"/>
    </row>
    <row r="100" spans="1:19" x14ac:dyDescent="0.25">
      <c r="A100" s="107">
        <v>96</v>
      </c>
      <c r="B100" s="105" t="s">
        <v>102</v>
      </c>
      <c r="C100" s="105" t="str">
        <f t="shared" si="6"/>
        <v>20</v>
      </c>
      <c r="D100" s="105">
        <v>620</v>
      </c>
      <c r="E100" s="106" t="s">
        <v>23</v>
      </c>
      <c r="F100" s="107" t="str">
        <f t="shared" ref="F100:F131" si="7">D100&amp;" "&amp;E100</f>
        <v>620 Interest Expense</v>
      </c>
      <c r="G100" s="105" t="s">
        <v>324</v>
      </c>
      <c r="H100" s="107" t="s">
        <v>23</v>
      </c>
      <c r="I100" s="112">
        <v>9000</v>
      </c>
      <c r="J100" s="113">
        <f>SUMIFS('Budget Worksheet'!$J$5:$J$234,'Budget Worksheet'!$B$5:$B$234,'Master Budget'!G100)</f>
        <v>9000</v>
      </c>
      <c r="K100" s="113">
        <f>_xlfn.XLOOKUP(G100,'Budget Worksheet'!$B$5:$B$234,'Budget Worksheet'!$G$5:$G$234,0)</f>
        <v>0</v>
      </c>
      <c r="L100" s="113">
        <f>SUMIFS('Budget Worksheet'!$L$5:$L$234,'Budget Worksheet'!$B$5:$B$234,'Master Budget'!G100)</f>
        <v>9000</v>
      </c>
      <c r="M100" s="113">
        <f>_xlfn.XLOOKUP(G100,'Budget Worksheet'!$B$5:$B$234,'Budget Worksheet'!$N$5:$N$234,0)</f>
        <v>9000</v>
      </c>
      <c r="N100" s="113">
        <f>_xlfn.XLOOKUP(G100,'Budget Worksheet'!$B$5:$B$234,'Budget Worksheet'!$P$5:$P$234,0)</f>
        <v>9000</v>
      </c>
      <c r="O100" s="113">
        <f>_xlfn.XLOOKUP(G100,'Budget Worksheet'!$B$4:$B$234,'Budget Worksheet'!$S$4:$S$234,0)</f>
        <v>3918.4900000000002</v>
      </c>
      <c r="P100" s="113">
        <f>_xlfn.XLOOKUP(G100,'Budget Worksheet'!$B$4:$B$234,'Budget Worksheet'!$U$4:$U$234,0)</f>
        <v>2939.1</v>
      </c>
      <c r="Q100" s="107">
        <f>MATCH(G100,'Budget Worksheet'!$B$5:$B$234,0)</f>
        <v>46</v>
      </c>
      <c r="R100" s="112">
        <f t="shared" si="5"/>
        <v>45000</v>
      </c>
      <c r="S100" s="108"/>
    </row>
    <row r="101" spans="1:19" x14ac:dyDescent="0.25">
      <c r="A101" s="107">
        <v>97</v>
      </c>
      <c r="B101" s="105" t="s">
        <v>102</v>
      </c>
      <c r="C101" s="105" t="str">
        <f t="shared" si="6"/>
        <v>20</v>
      </c>
      <c r="D101" s="105">
        <v>200</v>
      </c>
      <c r="E101" s="106" t="s">
        <v>10</v>
      </c>
      <c r="F101" s="107" t="str">
        <f t="shared" si="7"/>
        <v>200 General and Administrative</v>
      </c>
      <c r="G101" s="105" t="s">
        <v>326</v>
      </c>
      <c r="H101" s="107" t="s">
        <v>1061</v>
      </c>
      <c r="I101" s="112">
        <v>10000</v>
      </c>
      <c r="J101" s="113">
        <f>SUMIFS('Budget Worksheet'!$J$5:$J$234,'Budget Worksheet'!$B$5:$B$234,'Master Budget'!G101)</f>
        <v>11000</v>
      </c>
      <c r="K101" s="113">
        <f>_xlfn.XLOOKUP(G101,'Budget Worksheet'!$B$5:$B$234,'Budget Worksheet'!$G$5:$G$234,0)</f>
        <v>10611.051428571427</v>
      </c>
      <c r="L101" s="113">
        <f>SUMIFS('Budget Worksheet'!$L$5:$L$234,'Budget Worksheet'!$B$5:$B$234,'Master Budget'!G101)</f>
        <v>10000</v>
      </c>
      <c r="M101" s="113">
        <f>_xlfn.XLOOKUP(G101,'Budget Worksheet'!$B$5:$B$234,'Budget Worksheet'!$N$5:$N$234,0)</f>
        <v>11500</v>
      </c>
      <c r="N101" s="113">
        <f>_xlfn.XLOOKUP(G101,'Budget Worksheet'!$B$5:$B$234,'Budget Worksheet'!$P$5:$P$234,0)</f>
        <v>11500</v>
      </c>
      <c r="O101" s="113">
        <f>_xlfn.XLOOKUP(G101,'Budget Worksheet'!$B$4:$B$234,'Budget Worksheet'!$S$4:$S$234,0)</f>
        <v>11500</v>
      </c>
      <c r="P101" s="113">
        <f>_xlfn.XLOOKUP(G101,'Budget Worksheet'!$B$4:$B$234,'Budget Worksheet'!$U$4:$U$234,0)</f>
        <v>11500</v>
      </c>
      <c r="Q101" s="107">
        <f>MATCH(G101,'Budget Worksheet'!$B$5:$B$234,0)</f>
        <v>47</v>
      </c>
      <c r="R101" s="112">
        <f t="shared" si="5"/>
        <v>64611.051428571431</v>
      </c>
      <c r="S101" s="108"/>
    </row>
    <row r="102" spans="1:19" x14ac:dyDescent="0.25">
      <c r="A102" s="107">
        <v>98</v>
      </c>
      <c r="B102" s="105" t="s">
        <v>102</v>
      </c>
      <c r="C102" s="105" t="str">
        <f t="shared" si="6"/>
        <v>20</v>
      </c>
      <c r="D102" s="105">
        <v>200</v>
      </c>
      <c r="E102" s="106" t="s">
        <v>10</v>
      </c>
      <c r="F102" s="107" t="str">
        <f t="shared" si="7"/>
        <v>200 General and Administrative</v>
      </c>
      <c r="G102" s="105" t="s">
        <v>328</v>
      </c>
      <c r="H102" s="107" t="s">
        <v>329</v>
      </c>
      <c r="I102" s="112">
        <v>4500</v>
      </c>
      <c r="J102" s="113">
        <f>SUMIFS('Budget Worksheet'!$J$5:$J$234,'Budget Worksheet'!$B$5:$B$234,'Master Budget'!G102)</f>
        <v>4500</v>
      </c>
      <c r="K102" s="113">
        <f>_xlfn.XLOOKUP(G102,'Budget Worksheet'!$B$5:$B$234,'Budget Worksheet'!$G$5:$G$234,0)</f>
        <v>273.54857142857145</v>
      </c>
      <c r="L102" s="113">
        <f>SUMIFS('Budget Worksheet'!$L$5:$L$234,'Budget Worksheet'!$B$5:$B$234,'Master Budget'!G102)</f>
        <v>4500</v>
      </c>
      <c r="M102" s="113">
        <f>_xlfn.XLOOKUP(G102,'Budget Worksheet'!$B$5:$B$234,'Budget Worksheet'!$N$5:$N$234,0)</f>
        <v>4500</v>
      </c>
      <c r="N102" s="113">
        <f>_xlfn.XLOOKUP(G102,'Budget Worksheet'!$B$5:$B$234,'Budget Worksheet'!$P$5:$P$234,0)</f>
        <v>4500</v>
      </c>
      <c r="O102" s="113">
        <f>_xlfn.XLOOKUP(G102,'Budget Worksheet'!$B$4:$B$234,'Budget Worksheet'!$S$4:$S$234,0)</f>
        <v>4500</v>
      </c>
      <c r="P102" s="113">
        <f>_xlfn.XLOOKUP(G102,'Budget Worksheet'!$B$4:$B$234,'Budget Worksheet'!$U$4:$U$234,0)</f>
        <v>4500</v>
      </c>
      <c r="Q102" s="107">
        <f>MATCH(G102,'Budget Worksheet'!$B$5:$B$234,0)</f>
        <v>48</v>
      </c>
      <c r="R102" s="112">
        <f t="shared" si="5"/>
        <v>22773.548571428571</v>
      </c>
      <c r="S102" s="108"/>
    </row>
    <row r="103" spans="1:19" x14ac:dyDescent="0.25">
      <c r="A103" s="107">
        <v>99</v>
      </c>
      <c r="B103" s="105" t="s">
        <v>102</v>
      </c>
      <c r="C103" s="105" t="str">
        <f t="shared" si="6"/>
        <v>20</v>
      </c>
      <c r="D103" s="105">
        <v>200</v>
      </c>
      <c r="E103" s="106" t="s">
        <v>10</v>
      </c>
      <c r="F103" s="107" t="str">
        <f t="shared" si="7"/>
        <v>200 General and Administrative</v>
      </c>
      <c r="G103" s="177" t="s">
        <v>1062</v>
      </c>
      <c r="H103" s="178" t="s">
        <v>1063</v>
      </c>
      <c r="I103" s="112">
        <v>0</v>
      </c>
      <c r="J103" s="113">
        <f>SUMIFS('Budget Worksheet'!$J$5:$J$234,'Budget Worksheet'!$B$5:$B$234,'Master Budget'!G103)</f>
        <v>0</v>
      </c>
      <c r="K103" s="113"/>
      <c r="L103" s="113">
        <f>SUMIFS('Budget Worksheet'!$L$5:$L$234,'Budget Worksheet'!$B$5:$B$234,'Master Budget'!G103)</f>
        <v>0</v>
      </c>
      <c r="M103" s="113">
        <f>_xlfn.XLOOKUP(G103,'Budget Worksheet'!$B$5:$B$234,'Budget Worksheet'!$N$5:$N$234,0)</f>
        <v>0</v>
      </c>
      <c r="N103" s="113">
        <f>_xlfn.XLOOKUP(G103,'Budget Worksheet'!$B$5:$B$234,'Budget Worksheet'!$P$5:$P$234,0)</f>
        <v>0</v>
      </c>
      <c r="O103" s="113">
        <f>_xlfn.XLOOKUP(G103,'Budget Worksheet'!$B$4:$B$234,'Budget Worksheet'!$S$4:$S$234,0)</f>
        <v>0</v>
      </c>
      <c r="P103" s="113">
        <f>_xlfn.XLOOKUP(G103,'Budget Worksheet'!$B$4:$B$234,'Budget Worksheet'!$U$4:$U$234,0)</f>
        <v>0</v>
      </c>
      <c r="Q103" s="107" t="e">
        <f>MATCH(G103,'Budget Worksheet'!$B$5:$B$234,0)</f>
        <v>#N/A</v>
      </c>
      <c r="R103" s="112">
        <f t="shared" si="5"/>
        <v>0</v>
      </c>
      <c r="S103" s="108"/>
    </row>
    <row r="104" spans="1:19" x14ac:dyDescent="0.25">
      <c r="A104" s="107">
        <v>100</v>
      </c>
      <c r="B104" s="105" t="s">
        <v>102</v>
      </c>
      <c r="C104" s="105" t="str">
        <f t="shared" si="6"/>
        <v>20</v>
      </c>
      <c r="D104" s="105">
        <v>200</v>
      </c>
      <c r="E104" s="106" t="s">
        <v>10</v>
      </c>
      <c r="F104" s="107" t="str">
        <f t="shared" si="7"/>
        <v>200 General and Administrative</v>
      </c>
      <c r="G104" s="177" t="s">
        <v>1064</v>
      </c>
      <c r="H104" s="178" t="s">
        <v>158</v>
      </c>
      <c r="I104" s="112">
        <v>0</v>
      </c>
      <c r="J104" s="113">
        <f>SUMIFS('Budget Worksheet'!$J$5:$J$234,'Budget Worksheet'!$B$5:$B$234,'Master Budget'!G104)</f>
        <v>0</v>
      </c>
      <c r="K104" s="113"/>
      <c r="L104" s="113">
        <f>SUMIFS('Budget Worksheet'!$L$5:$L$234,'Budget Worksheet'!$B$5:$B$234,'Master Budget'!G104)</f>
        <v>0</v>
      </c>
      <c r="M104" s="113">
        <f>_xlfn.XLOOKUP(G104,'Budget Worksheet'!$B$5:$B$234,'Budget Worksheet'!$N$5:$N$234,0)</f>
        <v>0</v>
      </c>
      <c r="N104" s="113">
        <f>_xlfn.XLOOKUP(G104,'Budget Worksheet'!$B$5:$B$234,'Budget Worksheet'!$P$5:$P$234,0)</f>
        <v>0</v>
      </c>
      <c r="O104" s="113">
        <f>_xlfn.XLOOKUP(G104,'Budget Worksheet'!$B$4:$B$234,'Budget Worksheet'!$S$4:$S$234,0)</f>
        <v>0</v>
      </c>
      <c r="P104" s="113">
        <f>_xlfn.XLOOKUP(G104,'Budget Worksheet'!$B$4:$B$234,'Budget Worksheet'!$U$4:$U$234,0)</f>
        <v>0</v>
      </c>
      <c r="Q104" s="107" t="e">
        <f>MATCH(G104,'Budget Worksheet'!$B$5:$B$234,0)</f>
        <v>#N/A</v>
      </c>
      <c r="R104" s="112">
        <f t="shared" si="5"/>
        <v>0</v>
      </c>
      <c r="S104" s="108"/>
    </row>
    <row r="105" spans="1:19" x14ac:dyDescent="0.25">
      <c r="A105" s="107">
        <v>101</v>
      </c>
      <c r="B105" s="105" t="s">
        <v>102</v>
      </c>
      <c r="C105" s="105" t="str">
        <f t="shared" si="6"/>
        <v>20</v>
      </c>
      <c r="D105" s="105">
        <v>200</v>
      </c>
      <c r="E105" s="106" t="s">
        <v>10</v>
      </c>
      <c r="F105" s="107" t="str">
        <f t="shared" si="7"/>
        <v>200 General and Administrative</v>
      </c>
      <c r="G105" s="105" t="s">
        <v>330</v>
      </c>
      <c r="H105" s="107" t="s">
        <v>331</v>
      </c>
      <c r="I105" s="112">
        <v>6000</v>
      </c>
      <c r="J105" s="113">
        <f>SUMIFS('Budget Worksheet'!$J$5:$J$234,'Budget Worksheet'!$B$5:$B$234,'Master Budget'!G105)</f>
        <v>9300</v>
      </c>
      <c r="K105" s="113">
        <f>_xlfn.XLOOKUP(G105,'Budget Worksheet'!$B$5:$B$234,'Budget Worksheet'!$G$5:$G$234,0)</f>
        <v>11778.291428571429</v>
      </c>
      <c r="L105" s="113">
        <f>SUMIFS('Budget Worksheet'!$L$5:$L$234,'Budget Worksheet'!$B$5:$B$234,'Master Budget'!G105)</f>
        <v>8000</v>
      </c>
      <c r="M105" s="113">
        <f>_xlfn.XLOOKUP(G105,'Budget Worksheet'!$B$5:$B$234,'Budget Worksheet'!$N$5:$N$234,0)</f>
        <v>9500</v>
      </c>
      <c r="N105" s="113">
        <f>_xlfn.XLOOKUP(G105,'Budget Worksheet'!$B$5:$B$234,'Budget Worksheet'!$P$5:$P$234,0)</f>
        <v>11000</v>
      </c>
      <c r="O105" s="113">
        <f>_xlfn.XLOOKUP(G105,'Budget Worksheet'!$B$4:$B$234,'Budget Worksheet'!$S$4:$S$234,0)</f>
        <v>11000</v>
      </c>
      <c r="P105" s="113">
        <f>_xlfn.XLOOKUP(G105,'Budget Worksheet'!$B$4:$B$234,'Budget Worksheet'!$U$4:$U$234,0)</f>
        <v>11000</v>
      </c>
      <c r="Q105" s="107">
        <f>MATCH(G105,'Budget Worksheet'!$B$5:$B$234,0)</f>
        <v>49</v>
      </c>
      <c r="R105" s="112">
        <f t="shared" si="5"/>
        <v>55578.291428571429</v>
      </c>
      <c r="S105" s="108"/>
    </row>
    <row r="106" spans="1:19" x14ac:dyDescent="0.25">
      <c r="A106" s="107">
        <v>102</v>
      </c>
      <c r="B106" s="105" t="s">
        <v>102</v>
      </c>
      <c r="C106" s="105" t="str">
        <f t="shared" si="6"/>
        <v>20</v>
      </c>
      <c r="D106" s="105">
        <v>200</v>
      </c>
      <c r="E106" s="106" t="s">
        <v>10</v>
      </c>
      <c r="F106" s="107" t="str">
        <f t="shared" si="7"/>
        <v>200 General and Administrative</v>
      </c>
      <c r="G106" s="105" t="s">
        <v>332</v>
      </c>
      <c r="H106" s="107" t="s">
        <v>333</v>
      </c>
      <c r="I106" s="112">
        <v>5000</v>
      </c>
      <c r="J106" s="113">
        <f>SUMIFS('Budget Worksheet'!$J$5:$J$234,'Budget Worksheet'!$B$5:$B$234,'Master Budget'!G106)</f>
        <v>5000</v>
      </c>
      <c r="K106" s="113">
        <f>_xlfn.XLOOKUP(G106,'Budget Worksheet'!$B$5:$B$234,'Budget Worksheet'!$G$5:$G$234,0)</f>
        <v>0</v>
      </c>
      <c r="L106" s="113">
        <f>SUMIFS('Budget Worksheet'!$L$5:$L$234,'Budget Worksheet'!$B$5:$B$234,'Master Budget'!G106)</f>
        <v>5000</v>
      </c>
      <c r="M106" s="113">
        <f>_xlfn.XLOOKUP(G106,'Budget Worksheet'!$B$5:$B$234,'Budget Worksheet'!$N$5:$N$234,0)</f>
        <v>5000</v>
      </c>
      <c r="N106" s="113">
        <f>_xlfn.XLOOKUP(G106,'Budget Worksheet'!$B$5:$B$234,'Budget Worksheet'!$P$5:$P$234,0)</f>
        <v>2000</v>
      </c>
      <c r="O106" s="113">
        <f>_xlfn.XLOOKUP(G106,'Budget Worksheet'!$B$4:$B$234,'Budget Worksheet'!$S$4:$S$234,0)</f>
        <v>2000</v>
      </c>
      <c r="P106" s="113">
        <f>_xlfn.XLOOKUP(G106,'Budget Worksheet'!$B$4:$B$234,'Budget Worksheet'!$U$4:$U$234,0)</f>
        <v>2000</v>
      </c>
      <c r="Q106" s="107">
        <f>MATCH(G106,'Budget Worksheet'!$B$5:$B$234,0)</f>
        <v>50</v>
      </c>
      <c r="R106" s="112">
        <f t="shared" si="5"/>
        <v>22000</v>
      </c>
      <c r="S106" s="108"/>
    </row>
    <row r="107" spans="1:19" x14ac:dyDescent="0.25">
      <c r="A107" s="107">
        <v>103</v>
      </c>
      <c r="B107" s="105" t="s">
        <v>102</v>
      </c>
      <c r="C107" s="105" t="str">
        <f t="shared" si="6"/>
        <v>20</v>
      </c>
      <c r="D107" s="105">
        <v>200</v>
      </c>
      <c r="E107" s="106" t="s">
        <v>10</v>
      </c>
      <c r="F107" s="107" t="str">
        <f t="shared" si="7"/>
        <v>200 General and Administrative</v>
      </c>
      <c r="G107" s="105" t="s">
        <v>334</v>
      </c>
      <c r="H107" s="107" t="s">
        <v>335</v>
      </c>
      <c r="I107" s="112">
        <v>2000</v>
      </c>
      <c r="J107" s="113">
        <f>SUMIFS('Budget Worksheet'!$J$5:$J$234,'Budget Worksheet'!$B$5:$B$234,'Master Budget'!G107)</f>
        <v>2000</v>
      </c>
      <c r="K107" s="113">
        <f>_xlfn.XLOOKUP(G107,'Budget Worksheet'!$B$5:$B$234,'Budget Worksheet'!$G$5:$G$234,0)</f>
        <v>1156.7828571428572</v>
      </c>
      <c r="L107" s="113">
        <f>SUMIFS('Budget Worksheet'!$L$5:$L$234,'Budget Worksheet'!$B$5:$B$234,'Master Budget'!G107)</f>
        <v>2000</v>
      </c>
      <c r="M107" s="113">
        <f>_xlfn.XLOOKUP(G107,'Budget Worksheet'!$B$5:$B$234,'Budget Worksheet'!$N$5:$N$234,0)</f>
        <v>1000</v>
      </c>
      <c r="N107" s="113">
        <f>_xlfn.XLOOKUP(G107,'Budget Worksheet'!$B$5:$B$234,'Budget Worksheet'!$P$5:$P$234,0)</f>
        <v>2000</v>
      </c>
      <c r="O107" s="113">
        <f>_xlfn.XLOOKUP(G107,'Budget Worksheet'!$B$4:$B$234,'Budget Worksheet'!$S$4:$S$234,0)</f>
        <v>2000</v>
      </c>
      <c r="P107" s="113">
        <f>_xlfn.XLOOKUP(G107,'Budget Worksheet'!$B$4:$B$234,'Budget Worksheet'!$U$4:$U$234,0)</f>
        <v>2000</v>
      </c>
      <c r="Q107" s="107">
        <f>MATCH(G107,'Budget Worksheet'!$B$5:$B$234,0)</f>
        <v>51</v>
      </c>
      <c r="R107" s="112">
        <f t="shared" si="5"/>
        <v>10156.782857142858</v>
      </c>
      <c r="S107" s="108"/>
    </row>
    <row r="108" spans="1:19" x14ac:dyDescent="0.25">
      <c r="A108" s="107">
        <v>104</v>
      </c>
      <c r="B108" s="105" t="s">
        <v>102</v>
      </c>
      <c r="C108" s="105" t="str">
        <f t="shared" si="6"/>
        <v>20</v>
      </c>
      <c r="D108" s="105">
        <v>200</v>
      </c>
      <c r="E108" s="106" t="s">
        <v>10</v>
      </c>
      <c r="F108" s="107" t="str">
        <f t="shared" si="7"/>
        <v>200 General and Administrative</v>
      </c>
      <c r="G108" s="105" t="s">
        <v>336</v>
      </c>
      <c r="H108" s="107" t="s">
        <v>337</v>
      </c>
      <c r="I108" s="112">
        <v>0</v>
      </c>
      <c r="J108" s="113">
        <f>SUMIFS('Budget Worksheet'!$J$5:$J$234,'Budget Worksheet'!$B$5:$B$234,'Master Budget'!G108)</f>
        <v>2400</v>
      </c>
      <c r="K108" s="113">
        <f>_xlfn.XLOOKUP(G108,'Budget Worksheet'!$B$5:$B$234,'Budget Worksheet'!$G$5:$G$234,0)</f>
        <v>5762.3657142857146</v>
      </c>
      <c r="L108" s="113">
        <f>SUMIFS('Budget Worksheet'!$L$5:$L$234,'Budget Worksheet'!$B$5:$B$234,'Master Budget'!G108)</f>
        <v>0</v>
      </c>
      <c r="M108" s="113">
        <f>_xlfn.XLOOKUP(G108,'Budget Worksheet'!$B$5:$B$234,'Budget Worksheet'!$N$5:$N$234,0)</f>
        <v>1200</v>
      </c>
      <c r="N108" s="113">
        <f>_xlfn.XLOOKUP(G108,'Budget Worksheet'!$B$5:$B$234,'Budget Worksheet'!$P$5:$P$234,0)</f>
        <v>1000</v>
      </c>
      <c r="O108" s="113">
        <f>_xlfn.XLOOKUP(G108,'Budget Worksheet'!$B$4:$B$234,'Budget Worksheet'!$S$4:$S$234,0)</f>
        <v>5000</v>
      </c>
      <c r="P108" s="113">
        <f>_xlfn.XLOOKUP(G108,'Budget Worksheet'!$B$4:$B$234,'Budget Worksheet'!$U$4:$U$234,0)</f>
        <v>2500</v>
      </c>
      <c r="Q108" s="107">
        <f>MATCH(G108,'Budget Worksheet'!$B$5:$B$234,0)</f>
        <v>52</v>
      </c>
      <c r="R108" s="112">
        <f t="shared" si="5"/>
        <v>10362.365714285716</v>
      </c>
      <c r="S108" s="108"/>
    </row>
    <row r="109" spans="1:19" x14ac:dyDescent="0.25">
      <c r="A109" s="107">
        <v>105</v>
      </c>
      <c r="B109" s="114" t="s">
        <v>102</v>
      </c>
      <c r="C109" s="105" t="str">
        <f t="shared" si="6"/>
        <v>20</v>
      </c>
      <c r="D109" s="114">
        <v>200</v>
      </c>
      <c r="E109" s="106" t="s">
        <v>10</v>
      </c>
      <c r="F109" s="115" t="str">
        <f t="shared" si="7"/>
        <v>200 General and Administrative</v>
      </c>
      <c r="G109" s="114" t="s">
        <v>338</v>
      </c>
      <c r="H109" s="115" t="s">
        <v>339</v>
      </c>
      <c r="I109" s="112">
        <v>0</v>
      </c>
      <c r="J109" s="113">
        <f>SUMIFS('Budget Worksheet'!$J$5:$J$234,'Budget Worksheet'!$B$5:$B$234,'Master Budget'!G109)</f>
        <v>0</v>
      </c>
      <c r="K109" s="113"/>
      <c r="L109" s="113">
        <f>SUMIFS('Budget Worksheet'!$L$5:$L$234,'Budget Worksheet'!$B$5:$B$234,'Master Budget'!G109)</f>
        <v>0</v>
      </c>
      <c r="M109" s="113">
        <f>_xlfn.XLOOKUP(G109,'Budget Worksheet'!$B$5:$B$234,'Budget Worksheet'!$N$5:$N$234,0)</f>
        <v>0</v>
      </c>
      <c r="N109" s="113">
        <f>_xlfn.XLOOKUP(G109,'Budget Worksheet'!$B$5:$B$234,'Budget Worksheet'!$P$5:$P$234,0)</f>
        <v>0</v>
      </c>
      <c r="O109" s="113">
        <f>_xlfn.XLOOKUP(G109,'Budget Worksheet'!$B$4:$B$234,'Budget Worksheet'!$S$4:$S$234,0)</f>
        <v>0</v>
      </c>
      <c r="P109" s="113">
        <f>_xlfn.XLOOKUP(G109,'Budget Worksheet'!$B$4:$B$234,'Budget Worksheet'!$U$4:$U$234,0)</f>
        <v>0</v>
      </c>
      <c r="Q109" s="107">
        <f>MATCH(G109,'Budget Worksheet'!$B$5:$B$234,0)</f>
        <v>53</v>
      </c>
      <c r="R109" s="112">
        <f t="shared" si="5"/>
        <v>0</v>
      </c>
      <c r="S109" s="108"/>
    </row>
    <row r="110" spans="1:19" x14ac:dyDescent="0.25">
      <c r="A110" s="107">
        <v>106</v>
      </c>
      <c r="B110" s="105" t="s">
        <v>102</v>
      </c>
      <c r="C110" s="105" t="str">
        <f t="shared" si="6"/>
        <v>20</v>
      </c>
      <c r="D110" s="105">
        <v>700</v>
      </c>
      <c r="E110" s="106" t="s">
        <v>12</v>
      </c>
      <c r="F110" s="107" t="str">
        <f t="shared" si="7"/>
        <v>700 Depreciation and Amortization</v>
      </c>
      <c r="G110" s="105" t="s">
        <v>340</v>
      </c>
      <c r="H110" s="107" t="s">
        <v>43</v>
      </c>
      <c r="I110" s="112">
        <v>110000</v>
      </c>
      <c r="J110" s="113">
        <f>SUMIFS('Budget Worksheet'!$J$5:$J$234,'Budget Worksheet'!$B$5:$B$234,'Master Budget'!G110)</f>
        <v>110000</v>
      </c>
      <c r="K110" s="113">
        <f>_xlfn.XLOOKUP(G110,'Budget Worksheet'!$B$5:$B$234,'Budget Worksheet'!$G$5:$G$234,0)</f>
        <v>79740.857142857145</v>
      </c>
      <c r="L110" s="113">
        <f>SUMIFS('Budget Worksheet'!$L$5:$L$234,'Budget Worksheet'!$B$5:$B$234,'Master Budget'!G110)</f>
        <v>110000</v>
      </c>
      <c r="M110" s="113">
        <f>_xlfn.XLOOKUP(G110,'Budget Worksheet'!$B$5:$B$234,'Budget Worksheet'!$N$5:$N$234,0)</f>
        <v>110000</v>
      </c>
      <c r="N110" s="113">
        <f>_xlfn.XLOOKUP(G110,'Budget Worksheet'!$B$5:$B$234,'Budget Worksheet'!$P$5:$P$234,0)</f>
        <v>110000</v>
      </c>
      <c r="O110" s="113">
        <f>_xlfn.XLOOKUP(G110,'Budget Worksheet'!$B$4:$B$234,'Budget Worksheet'!$S$4:$S$234,0)</f>
        <v>110000</v>
      </c>
      <c r="P110" s="113">
        <f>_xlfn.XLOOKUP(G110,'Budget Worksheet'!$B$4:$B$234,'Budget Worksheet'!$U$4:$U$234,0)</f>
        <v>110000</v>
      </c>
      <c r="Q110" s="107">
        <f>MATCH(G110,'Budget Worksheet'!$B$5:$B$234,0)</f>
        <v>54</v>
      </c>
      <c r="R110" s="112">
        <f t="shared" si="5"/>
        <v>629740.85714285716</v>
      </c>
      <c r="S110" s="108"/>
    </row>
    <row r="111" spans="1:19" x14ac:dyDescent="0.25">
      <c r="A111" s="107">
        <v>107</v>
      </c>
      <c r="B111" s="105" t="s">
        <v>102</v>
      </c>
      <c r="C111" s="105" t="str">
        <f t="shared" si="6"/>
        <v>20</v>
      </c>
      <c r="D111" s="105">
        <v>710</v>
      </c>
      <c r="E111" s="106" t="s">
        <v>882</v>
      </c>
      <c r="F111" s="107" t="str">
        <f t="shared" si="7"/>
        <v>710 Capital Outlay</v>
      </c>
      <c r="G111" s="105" t="s">
        <v>341</v>
      </c>
      <c r="H111" s="107" t="s">
        <v>882</v>
      </c>
      <c r="I111" s="112">
        <v>40000</v>
      </c>
      <c r="J111" s="113">
        <f>SUMIFS('Budget Worksheet'!$J$5:$J$234,'Budget Worksheet'!$B$5:$B$234,'Master Budget'!G111)</f>
        <v>0</v>
      </c>
      <c r="K111" s="113">
        <f>_xlfn.XLOOKUP(G111,'Budget Worksheet'!$B$5:$B$234,'Budget Worksheet'!$G$5:$G$234,0)</f>
        <v>0</v>
      </c>
      <c r="L111" s="113">
        <f>SUMIFS('Budget Worksheet'!$L$5:$L$234,'Budget Worksheet'!$B$5:$B$234,'Master Budget'!G111)</f>
        <v>14000000</v>
      </c>
      <c r="M111" s="113">
        <f>_xlfn.XLOOKUP(G111,'Budget Worksheet'!$B$5:$B$234,'Budget Worksheet'!$N$5:$N$234,0)</f>
        <v>0</v>
      </c>
      <c r="N111" s="113">
        <f>_xlfn.XLOOKUP(G111,'Budget Worksheet'!$B$5:$B$234,'Budget Worksheet'!$P$5:$P$234,0)</f>
        <v>0</v>
      </c>
      <c r="O111" s="113">
        <f>_xlfn.XLOOKUP(G111,'Budget Worksheet'!$B$4:$B$234,'Budget Worksheet'!$S$4:$S$234,0)</f>
        <v>0</v>
      </c>
      <c r="P111" s="113">
        <f>_xlfn.XLOOKUP(G111,'Budget Worksheet'!$B$4:$B$234,'Budget Worksheet'!$U$4:$U$234,0)</f>
        <v>0</v>
      </c>
      <c r="Q111" s="107">
        <f>MATCH(G111,'Budget Worksheet'!$B$5:$B$234,0)</f>
        <v>55</v>
      </c>
      <c r="R111" s="112">
        <f t="shared" si="5"/>
        <v>14040000</v>
      </c>
      <c r="S111" s="108"/>
    </row>
    <row r="112" spans="1:19" x14ac:dyDescent="0.25">
      <c r="A112" s="107">
        <v>108</v>
      </c>
      <c r="B112" s="105" t="s">
        <v>102</v>
      </c>
      <c r="C112" s="105" t="str">
        <f t="shared" si="6"/>
        <v>20</v>
      </c>
      <c r="D112" s="105">
        <v>710</v>
      </c>
      <c r="E112" s="106" t="s">
        <v>882</v>
      </c>
      <c r="F112" s="107" t="str">
        <f t="shared" si="7"/>
        <v>710 Capital Outlay</v>
      </c>
      <c r="G112" s="105" t="s">
        <v>343</v>
      </c>
      <c r="H112" s="107" t="s">
        <v>344</v>
      </c>
      <c r="I112" s="112">
        <v>0</v>
      </c>
      <c r="J112" s="113">
        <f>SUMIFS('Budget Worksheet'!$J$5:$J$234,'Budget Worksheet'!$B$5:$B$234,'Master Budget'!G112)</f>
        <v>40000</v>
      </c>
      <c r="K112" s="113">
        <f>_xlfn.XLOOKUP(G112,'Budget Worksheet'!$B$5:$B$234,'Budget Worksheet'!$G$5:$G$234,0)</f>
        <v>0</v>
      </c>
      <c r="L112" s="113">
        <f>SUMIFS('Budget Worksheet'!$L$5:$L$234,'Budget Worksheet'!$B$5:$B$234,'Master Budget'!G112)</f>
        <v>295000</v>
      </c>
      <c r="M112" s="113">
        <f>_xlfn.XLOOKUP(G112,'Budget Worksheet'!$B$5:$B$234,'Budget Worksheet'!$N$5:$N$234,0)</f>
        <v>295000</v>
      </c>
      <c r="N112" s="113">
        <f>_xlfn.XLOOKUP(G112,'Budget Worksheet'!$B$5:$B$234,'Budget Worksheet'!$P$5:$P$234,0)</f>
        <v>0</v>
      </c>
      <c r="O112" s="113">
        <f>_xlfn.XLOOKUP(G112,'Budget Worksheet'!$B$4:$B$234,'Budget Worksheet'!$S$4:$S$234,0)</f>
        <v>0</v>
      </c>
      <c r="P112" s="113">
        <f>_xlfn.XLOOKUP(G112,'Budget Worksheet'!$B$4:$B$234,'Budget Worksheet'!$U$4:$U$234,0)</f>
        <v>619000</v>
      </c>
      <c r="Q112" s="107">
        <f>MATCH(G112,'Budget Worksheet'!$B$5:$B$234,0)</f>
        <v>56</v>
      </c>
      <c r="R112" s="112">
        <f t="shared" si="5"/>
        <v>630000</v>
      </c>
      <c r="S112" s="108"/>
    </row>
    <row r="113" spans="1:19" x14ac:dyDescent="0.25">
      <c r="A113" s="107">
        <v>109</v>
      </c>
      <c r="B113" s="105" t="s">
        <v>102</v>
      </c>
      <c r="C113" s="105" t="str">
        <f t="shared" si="6"/>
        <v>20</v>
      </c>
      <c r="D113" s="105">
        <v>200</v>
      </c>
      <c r="E113" s="106" t="s">
        <v>10</v>
      </c>
      <c r="F113" s="107" t="str">
        <f t="shared" si="7"/>
        <v>200 General and Administrative</v>
      </c>
      <c r="G113" s="105" t="s">
        <v>347</v>
      </c>
      <c r="H113" s="107" t="s">
        <v>348</v>
      </c>
      <c r="I113" s="112">
        <v>50000</v>
      </c>
      <c r="J113" s="113">
        <f>SUMIFS('Budget Worksheet'!$J$5:$J$234,'Budget Worksheet'!$B$5:$B$234,'Master Budget'!G113)</f>
        <v>50000</v>
      </c>
      <c r="K113" s="113">
        <f>_xlfn.XLOOKUP(G113,'Budget Worksheet'!$B$5:$B$234,'Budget Worksheet'!$G$5:$G$234,0)</f>
        <v>8633.3314285714278</v>
      </c>
      <c r="L113" s="113">
        <f>SUMIFS('Budget Worksheet'!$L$5:$L$234,'Budget Worksheet'!$B$5:$B$234,'Master Budget'!G113)</f>
        <v>50000</v>
      </c>
      <c r="M113" s="113">
        <f>_xlfn.XLOOKUP(G113,'Budget Worksheet'!$B$5:$B$234,'Budget Worksheet'!$N$5:$N$234,0)</f>
        <v>25000</v>
      </c>
      <c r="N113" s="113">
        <f>_xlfn.XLOOKUP(G113,'Budget Worksheet'!$B$5:$B$234,'Budget Worksheet'!$P$5:$P$234,0)</f>
        <v>40000</v>
      </c>
      <c r="O113" s="113">
        <f>_xlfn.XLOOKUP(G113,'Budget Worksheet'!$B$4:$B$234,'Budget Worksheet'!$S$4:$S$234,0)</f>
        <v>20000</v>
      </c>
      <c r="P113" s="113">
        <f>_xlfn.XLOOKUP(G113,'Budget Worksheet'!$B$4:$B$234,'Budget Worksheet'!$U$4:$U$234,0)</f>
        <v>20000</v>
      </c>
      <c r="Q113" s="107">
        <f>MATCH(G113,'Budget Worksheet'!$B$5:$B$234,0)</f>
        <v>58</v>
      </c>
      <c r="R113" s="112">
        <f t="shared" si="5"/>
        <v>223633.33142857143</v>
      </c>
      <c r="S113" s="108"/>
    </row>
    <row r="114" spans="1:19" x14ac:dyDescent="0.25">
      <c r="A114" s="107">
        <v>110</v>
      </c>
      <c r="B114" s="105" t="s">
        <v>102</v>
      </c>
      <c r="C114" s="105" t="str">
        <f t="shared" si="6"/>
        <v>20</v>
      </c>
      <c r="D114" s="105">
        <v>200</v>
      </c>
      <c r="E114" s="106" t="s">
        <v>10</v>
      </c>
      <c r="F114" s="107" t="str">
        <f t="shared" si="7"/>
        <v>200 General and Administrative</v>
      </c>
      <c r="G114" s="177" t="s">
        <v>1065</v>
      </c>
      <c r="H114" s="178" t="s">
        <v>1066</v>
      </c>
      <c r="I114" s="112">
        <v>0</v>
      </c>
      <c r="J114" s="113">
        <f>SUMIFS('Budget Worksheet'!$J$5:$J$234,'Budget Worksheet'!$B$5:$B$234,'Master Budget'!G114)</f>
        <v>0</v>
      </c>
      <c r="K114" s="113"/>
      <c r="L114" s="113">
        <f>SUMIFS('Budget Worksheet'!$L$5:$L$234,'Budget Worksheet'!$B$5:$B$234,'Master Budget'!G114)</f>
        <v>0</v>
      </c>
      <c r="M114" s="113">
        <f>_xlfn.XLOOKUP(G114,'Budget Worksheet'!$B$5:$B$234,'Budget Worksheet'!$N$5:$N$234,0)</f>
        <v>0</v>
      </c>
      <c r="N114" s="113">
        <f>_xlfn.XLOOKUP(G114,'Budget Worksheet'!$B$5:$B$234,'Budget Worksheet'!$P$5:$P$234,0)</f>
        <v>0</v>
      </c>
      <c r="O114" s="113">
        <f>_xlfn.XLOOKUP(G114,'Budget Worksheet'!$B$4:$B$234,'Budget Worksheet'!$S$4:$S$234,0)</f>
        <v>0</v>
      </c>
      <c r="P114" s="113">
        <f>_xlfn.XLOOKUP(G114,'Budget Worksheet'!$B$4:$B$234,'Budget Worksheet'!$U$4:$U$234,0)</f>
        <v>0</v>
      </c>
      <c r="Q114" s="107" t="e">
        <f>MATCH(G114,'Budget Worksheet'!$B$5:$B$234,0)</f>
        <v>#N/A</v>
      </c>
      <c r="R114" s="112">
        <f t="shared" si="5"/>
        <v>0</v>
      </c>
      <c r="S114" s="108"/>
    </row>
    <row r="115" spans="1:19" ht="14.25" thickBot="1" x14ac:dyDescent="0.3">
      <c r="A115" s="121">
        <v>111</v>
      </c>
      <c r="B115" s="122" t="s">
        <v>102</v>
      </c>
      <c r="C115" s="122" t="str">
        <f t="shared" si="6"/>
        <v>20</v>
      </c>
      <c r="D115" s="122">
        <v>200</v>
      </c>
      <c r="E115" s="123" t="s">
        <v>10</v>
      </c>
      <c r="F115" s="121" t="str">
        <f t="shared" si="7"/>
        <v>200 General and Administrative</v>
      </c>
      <c r="G115" s="105" t="s">
        <v>349</v>
      </c>
      <c r="H115" s="107" t="s">
        <v>350</v>
      </c>
      <c r="I115" s="174">
        <v>40000</v>
      </c>
      <c r="J115" s="175">
        <f>SUMIFS('Budget Worksheet'!$J$5:$J$234,'Budget Worksheet'!$B$5:$B$234,'Master Budget'!G115)</f>
        <v>40000</v>
      </c>
      <c r="K115" s="175">
        <f>_xlfn.XLOOKUP(G115,'Budget Worksheet'!$B$5:$B$234,'Budget Worksheet'!$G$5:$G$234,0)</f>
        <v>32892.479999999996</v>
      </c>
      <c r="L115" s="175">
        <f>SUMIFS('Budget Worksheet'!$L$5:$L$234,'Budget Worksheet'!$B$5:$B$234,'Master Budget'!G115)</f>
        <v>40000</v>
      </c>
      <c r="M115" s="175">
        <f>_xlfn.XLOOKUP(G115,'Budget Worksheet'!$B$5:$B$234,'Budget Worksheet'!$N$5:$N$234,0)</f>
        <v>40000</v>
      </c>
      <c r="N115" s="175">
        <f>_xlfn.XLOOKUP(G115,'Budget Worksheet'!$B$5:$B$234,'Budget Worksheet'!$P$5:$P$234,0)</f>
        <v>25000</v>
      </c>
      <c r="O115" s="175">
        <f>_xlfn.XLOOKUP(G115,'Budget Worksheet'!$B$4:$B$234,'Budget Worksheet'!$S$4:$S$234,0)</f>
        <v>25000</v>
      </c>
      <c r="P115" s="175">
        <f>_xlfn.XLOOKUP(G115,'Budget Worksheet'!$B$4:$B$234,'Budget Worksheet'!$U$4:$U$234,0)</f>
        <v>15000</v>
      </c>
      <c r="Q115" s="107">
        <f>MATCH(G115,'Budget Worksheet'!$B$5:$B$234,0)</f>
        <v>59</v>
      </c>
      <c r="R115" s="174">
        <f t="shared" si="5"/>
        <v>217892.47999999998</v>
      </c>
      <c r="S115" s="108"/>
    </row>
    <row r="116" spans="1:19" ht="14.25" thickBot="1" x14ac:dyDescent="0.3">
      <c r="A116" s="107">
        <v>112</v>
      </c>
      <c r="B116" s="105" t="s">
        <v>102</v>
      </c>
      <c r="C116" s="105" t="str">
        <f t="shared" si="6"/>
        <v>20</v>
      </c>
      <c r="D116" s="105">
        <v>720</v>
      </c>
      <c r="E116" s="106" t="s">
        <v>883</v>
      </c>
      <c r="F116" s="107" t="str">
        <f t="shared" si="7"/>
        <v>720 Gain/Loss on disposal</v>
      </c>
      <c r="G116" s="122" t="s">
        <v>351</v>
      </c>
      <c r="H116" s="121" t="s">
        <v>164</v>
      </c>
      <c r="I116" s="124">
        <v>0</v>
      </c>
      <c r="J116" s="125">
        <f>SUMIFS('Budget Worksheet'!$J$5:$J$234,'Budget Worksheet'!$B$5:$B$234,'Master Budget'!G116)</f>
        <v>0</v>
      </c>
      <c r="K116" s="125"/>
      <c r="L116" s="125">
        <f>SUMIFS('Budget Worksheet'!$L$5:$L$234,'Budget Worksheet'!$B$5:$B$234,'Master Budget'!G116)</f>
        <v>0</v>
      </c>
      <c r="M116" s="125">
        <f>_xlfn.XLOOKUP(G116,'Budget Worksheet'!$B$5:$B$234,'Budget Worksheet'!$N$5:$N$234,0)</f>
        <v>0</v>
      </c>
      <c r="N116" s="125">
        <f>_xlfn.XLOOKUP(G116,'Budget Worksheet'!$B$5:$B$234,'Budget Worksheet'!$P$5:$P$234,0)</f>
        <v>0</v>
      </c>
      <c r="O116" s="125">
        <f>_xlfn.XLOOKUP(G116,'Budget Worksheet'!$B$4:$B$234,'Budget Worksheet'!$S$4:$S$234,0)</f>
        <v>0</v>
      </c>
      <c r="P116" s="125">
        <f>_xlfn.XLOOKUP(G116,'Budget Worksheet'!$B$4:$B$234,'Budget Worksheet'!$U$4:$U$234,0)</f>
        <v>0</v>
      </c>
      <c r="Q116" s="121">
        <f>MATCH(G116,'Budget Worksheet'!$B$5:$B$234,0)</f>
        <v>60</v>
      </c>
      <c r="R116" s="124">
        <f t="shared" si="5"/>
        <v>0</v>
      </c>
      <c r="S116" s="108"/>
    </row>
    <row r="117" spans="1:19" x14ac:dyDescent="0.25">
      <c r="A117" s="107">
        <v>113</v>
      </c>
      <c r="B117" s="105" t="s">
        <v>50</v>
      </c>
      <c r="C117" s="105" t="str">
        <f t="shared" si="6"/>
        <v>22</v>
      </c>
      <c r="D117" s="105">
        <v>10000</v>
      </c>
      <c r="E117" s="106" t="s">
        <v>1029</v>
      </c>
      <c r="F117" s="107" t="str">
        <f t="shared" si="7"/>
        <v>10000 Cash and Cash Equivalents</v>
      </c>
      <c r="G117" s="105" t="s">
        <v>402</v>
      </c>
      <c r="H117" s="107" t="s">
        <v>49</v>
      </c>
      <c r="I117" s="112">
        <v>0</v>
      </c>
      <c r="J117" s="113">
        <f>SUMIFS('Budget Worksheet'!$J$5:$J$234,'Budget Worksheet'!$B$5:$B$234,'Master Budget'!G117)</f>
        <v>0</v>
      </c>
      <c r="K117" s="113"/>
      <c r="L117" s="113">
        <f>SUMIFS('Budget Worksheet'!$L$5:$L$234,'Budget Worksheet'!$B$5:$B$234,'Master Budget'!G117)</f>
        <v>0</v>
      </c>
      <c r="M117" s="113">
        <f>_xlfn.XLOOKUP(G117,'Budget Worksheet'!$B$5:$B$234,'Budget Worksheet'!$N$5:$N$234,0)</f>
        <v>0</v>
      </c>
      <c r="N117" s="113">
        <f>_xlfn.XLOOKUP(G117,'Budget Worksheet'!$B$5:$B$234,'Budget Worksheet'!$P$5:$P$234,0)</f>
        <v>0</v>
      </c>
      <c r="O117" s="113">
        <f>_xlfn.XLOOKUP(G117,'Budget Worksheet'!$B$4:$B$234,'Budget Worksheet'!$S$4:$S$234,0)</f>
        <v>0</v>
      </c>
      <c r="P117" s="113">
        <f>_xlfn.XLOOKUP(G117,'Budget Worksheet'!$B$4:$B$234,'Budget Worksheet'!$U$4:$U$234,0)</f>
        <v>0</v>
      </c>
      <c r="Q117" s="107" t="e">
        <f>MATCH(G117,'Budget Worksheet'!$B$5:$B$234,0)</f>
        <v>#N/A</v>
      </c>
      <c r="R117" s="112">
        <f t="shared" si="5"/>
        <v>0</v>
      </c>
      <c r="S117" s="108"/>
    </row>
    <row r="118" spans="1:19" x14ac:dyDescent="0.25">
      <c r="A118" s="107">
        <v>114</v>
      </c>
      <c r="B118" s="105" t="s">
        <v>50</v>
      </c>
      <c r="C118" s="105" t="str">
        <f t="shared" si="6"/>
        <v>22</v>
      </c>
      <c r="D118" s="105">
        <v>10600</v>
      </c>
      <c r="E118" s="106" t="s">
        <v>1030</v>
      </c>
      <c r="F118" s="107" t="str">
        <f t="shared" si="7"/>
        <v>10600 Restricted cash and investments</v>
      </c>
      <c r="G118" s="105" t="s">
        <v>1067</v>
      </c>
      <c r="H118" s="107" t="s">
        <v>1031</v>
      </c>
      <c r="I118" s="112">
        <v>0</v>
      </c>
      <c r="J118" s="113">
        <f>SUMIFS('Budget Worksheet'!$J$5:$J$234,'Budget Worksheet'!$B$5:$B$234,'Master Budget'!G118)</f>
        <v>0</v>
      </c>
      <c r="K118" s="113"/>
      <c r="L118" s="113">
        <f>SUMIFS('Budget Worksheet'!$L$5:$L$234,'Budget Worksheet'!$B$5:$B$234,'Master Budget'!G118)</f>
        <v>0</v>
      </c>
      <c r="M118" s="113">
        <f>_xlfn.XLOOKUP(G118,'Budget Worksheet'!$B$5:$B$234,'Budget Worksheet'!$N$5:$N$234,0)</f>
        <v>0</v>
      </c>
      <c r="N118" s="113">
        <f>_xlfn.XLOOKUP(G118,'Budget Worksheet'!$B$5:$B$234,'Budget Worksheet'!$P$5:$P$234,0)</f>
        <v>0</v>
      </c>
      <c r="O118" s="113">
        <f>_xlfn.XLOOKUP(G118,'Budget Worksheet'!$B$4:$B$234,'Budget Worksheet'!$S$4:$S$234,0)</f>
        <v>0</v>
      </c>
      <c r="P118" s="113">
        <f>_xlfn.XLOOKUP(G118,'Budget Worksheet'!$B$4:$B$234,'Budget Worksheet'!$U$4:$U$234,0)</f>
        <v>0</v>
      </c>
      <c r="Q118" s="107" t="e">
        <f>MATCH(G118,'Budget Worksheet'!$B$5:$B$234,0)</f>
        <v>#N/A</v>
      </c>
      <c r="R118" s="112">
        <f t="shared" si="5"/>
        <v>0</v>
      </c>
      <c r="S118" s="108"/>
    </row>
    <row r="119" spans="1:19" x14ac:dyDescent="0.25">
      <c r="A119" s="107">
        <v>115</v>
      </c>
      <c r="B119" s="105" t="s">
        <v>50</v>
      </c>
      <c r="C119" s="105" t="str">
        <f t="shared" si="6"/>
        <v>22</v>
      </c>
      <c r="D119" s="105">
        <v>11500</v>
      </c>
      <c r="E119" s="106" t="s">
        <v>54</v>
      </c>
      <c r="F119" s="107" t="str">
        <f t="shared" si="7"/>
        <v>11500 Accounts Receivable</v>
      </c>
      <c r="G119" s="105" t="s">
        <v>405</v>
      </c>
      <c r="H119" s="107" t="s">
        <v>54</v>
      </c>
      <c r="I119" s="112">
        <v>0</v>
      </c>
      <c r="J119" s="113">
        <f>SUMIFS('Budget Worksheet'!$J$5:$J$234,'Budget Worksheet'!$B$5:$B$234,'Master Budget'!G119)</f>
        <v>0</v>
      </c>
      <c r="K119" s="113"/>
      <c r="L119" s="113">
        <f>SUMIFS('Budget Worksheet'!$L$5:$L$234,'Budget Worksheet'!$B$5:$B$234,'Master Budget'!G119)</f>
        <v>0</v>
      </c>
      <c r="M119" s="113">
        <f>_xlfn.XLOOKUP(G119,'Budget Worksheet'!$B$5:$B$234,'Budget Worksheet'!$N$5:$N$234,0)</f>
        <v>0</v>
      </c>
      <c r="N119" s="113">
        <f>_xlfn.XLOOKUP(G119,'Budget Worksheet'!$B$5:$B$234,'Budget Worksheet'!$P$5:$P$234,0)</f>
        <v>0</v>
      </c>
      <c r="O119" s="113">
        <f>_xlfn.XLOOKUP(G119,'Budget Worksheet'!$B$4:$B$234,'Budget Worksheet'!$S$4:$S$234,0)</f>
        <v>0</v>
      </c>
      <c r="P119" s="113">
        <f>_xlfn.XLOOKUP(G119,'Budget Worksheet'!$B$4:$B$234,'Budget Worksheet'!$U$4:$U$234,0)</f>
        <v>0</v>
      </c>
      <c r="Q119" s="107" t="e">
        <f>MATCH(G119,'Budget Worksheet'!$B$5:$B$234,0)</f>
        <v>#N/A</v>
      </c>
      <c r="R119" s="112">
        <f t="shared" si="5"/>
        <v>0</v>
      </c>
      <c r="S119" s="108"/>
    </row>
    <row r="120" spans="1:19" x14ac:dyDescent="0.25">
      <c r="A120" s="107">
        <v>116</v>
      </c>
      <c r="B120" s="105" t="s">
        <v>50</v>
      </c>
      <c r="C120" s="105" t="str">
        <f t="shared" si="6"/>
        <v>22</v>
      </c>
      <c r="D120" s="105">
        <v>16320</v>
      </c>
      <c r="E120" s="106" t="s">
        <v>796</v>
      </c>
      <c r="F120" s="107" t="str">
        <f t="shared" si="7"/>
        <v>16320 Equipment</v>
      </c>
      <c r="G120" s="105" t="s">
        <v>406</v>
      </c>
      <c r="H120" s="107" t="s">
        <v>184</v>
      </c>
      <c r="I120" s="112">
        <v>0</v>
      </c>
      <c r="J120" s="113">
        <f>SUMIFS('Budget Worksheet'!$J$5:$J$234,'Budget Worksheet'!$B$5:$B$234,'Master Budget'!G120)</f>
        <v>0</v>
      </c>
      <c r="K120" s="113"/>
      <c r="L120" s="113">
        <f>SUMIFS('Budget Worksheet'!$L$5:$L$234,'Budget Worksheet'!$B$5:$B$234,'Master Budget'!G120)</f>
        <v>0</v>
      </c>
      <c r="M120" s="113">
        <f>_xlfn.XLOOKUP(G120,'Budget Worksheet'!$B$5:$B$234,'Budget Worksheet'!$N$5:$N$234,0)</f>
        <v>0</v>
      </c>
      <c r="N120" s="113">
        <f>_xlfn.XLOOKUP(G120,'Budget Worksheet'!$B$5:$B$234,'Budget Worksheet'!$P$5:$P$234,0)</f>
        <v>0</v>
      </c>
      <c r="O120" s="113">
        <f>_xlfn.XLOOKUP(G120,'Budget Worksheet'!$B$4:$B$234,'Budget Worksheet'!$S$4:$S$234,0)</f>
        <v>0</v>
      </c>
      <c r="P120" s="113">
        <f>_xlfn.XLOOKUP(G120,'Budget Worksheet'!$B$4:$B$234,'Budget Worksheet'!$U$4:$U$234,0)</f>
        <v>0</v>
      </c>
      <c r="Q120" s="107" t="e">
        <f>MATCH(G120,'Budget Worksheet'!$B$5:$B$234,0)</f>
        <v>#N/A</v>
      </c>
      <c r="R120" s="112">
        <f t="shared" si="5"/>
        <v>0</v>
      </c>
      <c r="S120" s="108"/>
    </row>
    <row r="121" spans="1:19" x14ac:dyDescent="0.25">
      <c r="A121" s="107">
        <v>117</v>
      </c>
      <c r="B121" s="105" t="s">
        <v>50</v>
      </c>
      <c r="C121" s="105" t="str">
        <f t="shared" si="6"/>
        <v>22</v>
      </c>
      <c r="D121" s="105">
        <v>16900</v>
      </c>
      <c r="E121" s="106" t="s">
        <v>198</v>
      </c>
      <c r="F121" s="107" t="str">
        <f t="shared" si="7"/>
        <v>16900 Accumulated Depreciation</v>
      </c>
      <c r="G121" s="105" t="s">
        <v>407</v>
      </c>
      <c r="H121" s="107" t="s">
        <v>198</v>
      </c>
      <c r="I121" s="112">
        <v>0</v>
      </c>
      <c r="J121" s="113">
        <f>SUMIFS('Budget Worksheet'!$J$5:$J$234,'Budget Worksheet'!$B$5:$B$234,'Master Budget'!G121)</f>
        <v>0</v>
      </c>
      <c r="K121" s="113"/>
      <c r="L121" s="113">
        <f>SUMIFS('Budget Worksheet'!$L$5:$L$234,'Budget Worksheet'!$B$5:$B$234,'Master Budget'!G121)</f>
        <v>0</v>
      </c>
      <c r="M121" s="113">
        <f>_xlfn.XLOOKUP(G121,'Budget Worksheet'!$B$5:$B$234,'Budget Worksheet'!$N$5:$N$234,0)</f>
        <v>0</v>
      </c>
      <c r="N121" s="113">
        <f>_xlfn.XLOOKUP(G121,'Budget Worksheet'!$B$5:$B$234,'Budget Worksheet'!$P$5:$P$234,0)</f>
        <v>0</v>
      </c>
      <c r="O121" s="113">
        <f>_xlfn.XLOOKUP(G121,'Budget Worksheet'!$B$4:$B$234,'Budget Worksheet'!$S$4:$S$234,0)</f>
        <v>0</v>
      </c>
      <c r="P121" s="113">
        <f>_xlfn.XLOOKUP(G121,'Budget Worksheet'!$B$4:$B$234,'Budget Worksheet'!$U$4:$U$234,0)</f>
        <v>0</v>
      </c>
      <c r="Q121" s="107" t="e">
        <f>MATCH(G121,'Budget Worksheet'!$B$5:$B$234,0)</f>
        <v>#N/A</v>
      </c>
      <c r="R121" s="112">
        <f t="shared" si="5"/>
        <v>0</v>
      </c>
      <c r="S121" s="108"/>
    </row>
    <row r="122" spans="1:19" x14ac:dyDescent="0.25">
      <c r="A122" s="107">
        <v>118</v>
      </c>
      <c r="B122" s="105" t="s">
        <v>71</v>
      </c>
      <c r="C122" s="105" t="str">
        <f t="shared" si="6"/>
        <v>22</v>
      </c>
      <c r="D122" s="105">
        <v>21100</v>
      </c>
      <c r="E122" s="106" t="s">
        <v>70</v>
      </c>
      <c r="F122" s="107" t="str">
        <f t="shared" si="7"/>
        <v>21100 Accounts Payable</v>
      </c>
      <c r="G122" s="105" t="s">
        <v>408</v>
      </c>
      <c r="H122" s="107" t="s">
        <v>70</v>
      </c>
      <c r="I122" s="112">
        <v>0</v>
      </c>
      <c r="J122" s="113">
        <f>SUMIFS('Budget Worksheet'!$J$5:$J$234,'Budget Worksheet'!$B$5:$B$234,'Master Budget'!G122)</f>
        <v>0</v>
      </c>
      <c r="K122" s="113"/>
      <c r="L122" s="113">
        <f>SUMIFS('Budget Worksheet'!$L$5:$L$234,'Budget Worksheet'!$B$5:$B$234,'Master Budget'!G122)</f>
        <v>0</v>
      </c>
      <c r="M122" s="113">
        <f>_xlfn.XLOOKUP(G122,'Budget Worksheet'!$B$5:$B$234,'Budget Worksheet'!$N$5:$N$234,0)</f>
        <v>0</v>
      </c>
      <c r="N122" s="113">
        <f>_xlfn.XLOOKUP(G122,'Budget Worksheet'!$B$5:$B$234,'Budget Worksheet'!$P$5:$P$234,0)</f>
        <v>0</v>
      </c>
      <c r="O122" s="113">
        <f>_xlfn.XLOOKUP(G122,'Budget Worksheet'!$B$4:$B$234,'Budget Worksheet'!$S$4:$S$234,0)</f>
        <v>0</v>
      </c>
      <c r="P122" s="113">
        <f>_xlfn.XLOOKUP(G122,'Budget Worksheet'!$B$4:$B$234,'Budget Worksheet'!$U$4:$U$234,0)</f>
        <v>0</v>
      </c>
      <c r="Q122" s="107" t="e">
        <f>MATCH(G122,'Budget Worksheet'!$B$5:$B$234,0)</f>
        <v>#N/A</v>
      </c>
      <c r="R122" s="112">
        <f t="shared" si="5"/>
        <v>0</v>
      </c>
      <c r="S122" s="108"/>
    </row>
    <row r="123" spans="1:19" x14ac:dyDescent="0.25">
      <c r="A123" s="107">
        <v>119</v>
      </c>
      <c r="B123" s="105" t="s">
        <v>71</v>
      </c>
      <c r="C123" s="105" t="str">
        <f t="shared" si="6"/>
        <v>22</v>
      </c>
      <c r="D123" s="105">
        <v>22200</v>
      </c>
      <c r="E123" s="106" t="s">
        <v>1040</v>
      </c>
      <c r="F123" s="107" t="str">
        <f t="shared" si="7"/>
        <v>22200 Accrued Expenses</v>
      </c>
      <c r="G123" s="105" t="s">
        <v>409</v>
      </c>
      <c r="H123" s="107" t="s">
        <v>73</v>
      </c>
      <c r="I123" s="112">
        <v>0</v>
      </c>
      <c r="J123" s="113">
        <f>SUMIFS('Budget Worksheet'!$J$5:$J$234,'Budget Worksheet'!$B$5:$B$234,'Master Budget'!G123)</f>
        <v>0</v>
      </c>
      <c r="K123" s="113"/>
      <c r="L123" s="113">
        <f>SUMIFS('Budget Worksheet'!$L$5:$L$234,'Budget Worksheet'!$B$5:$B$234,'Master Budget'!G123)</f>
        <v>0</v>
      </c>
      <c r="M123" s="113">
        <f>_xlfn.XLOOKUP(G123,'Budget Worksheet'!$B$5:$B$234,'Budget Worksheet'!$N$5:$N$234,0)</f>
        <v>0</v>
      </c>
      <c r="N123" s="113">
        <f>_xlfn.XLOOKUP(G123,'Budget Worksheet'!$B$5:$B$234,'Budget Worksheet'!$P$5:$P$234,0)</f>
        <v>0</v>
      </c>
      <c r="O123" s="113">
        <f>_xlfn.XLOOKUP(G123,'Budget Worksheet'!$B$4:$B$234,'Budget Worksheet'!$S$4:$S$234,0)</f>
        <v>0</v>
      </c>
      <c r="P123" s="113">
        <f>_xlfn.XLOOKUP(G123,'Budget Worksheet'!$B$4:$B$234,'Budget Worksheet'!$U$4:$U$234,0)</f>
        <v>0</v>
      </c>
      <c r="Q123" s="107" t="e">
        <f>MATCH(G123,'Budget Worksheet'!$B$5:$B$234,0)</f>
        <v>#N/A</v>
      </c>
      <c r="R123" s="112">
        <f t="shared" si="5"/>
        <v>0</v>
      </c>
      <c r="S123" s="108"/>
    </row>
    <row r="124" spans="1:19" x14ac:dyDescent="0.25">
      <c r="A124" s="107">
        <v>120</v>
      </c>
      <c r="B124" s="105" t="s">
        <v>71</v>
      </c>
      <c r="C124" s="105" t="str">
        <f t="shared" si="6"/>
        <v>22</v>
      </c>
      <c r="D124" s="105">
        <v>22200</v>
      </c>
      <c r="E124" s="106" t="s">
        <v>1040</v>
      </c>
      <c r="F124" s="107" t="str">
        <f t="shared" si="7"/>
        <v>22200 Accrued Expenses</v>
      </c>
      <c r="G124" s="105" t="s">
        <v>410</v>
      </c>
      <c r="H124" s="107" t="s">
        <v>208</v>
      </c>
      <c r="I124" s="112">
        <v>0</v>
      </c>
      <c r="J124" s="113">
        <f>SUMIFS('Budget Worksheet'!$J$5:$J$234,'Budget Worksheet'!$B$5:$B$234,'Master Budget'!G124)</f>
        <v>0</v>
      </c>
      <c r="K124" s="113"/>
      <c r="L124" s="113">
        <f>SUMIFS('Budget Worksheet'!$L$5:$L$234,'Budget Worksheet'!$B$5:$B$234,'Master Budget'!G124)</f>
        <v>0</v>
      </c>
      <c r="M124" s="113">
        <f>_xlfn.XLOOKUP(G124,'Budget Worksheet'!$B$5:$B$234,'Budget Worksheet'!$N$5:$N$234,0)</f>
        <v>0</v>
      </c>
      <c r="N124" s="113">
        <f>_xlfn.XLOOKUP(G124,'Budget Worksheet'!$B$5:$B$234,'Budget Worksheet'!$P$5:$P$234,0)</f>
        <v>0</v>
      </c>
      <c r="O124" s="113">
        <f>_xlfn.XLOOKUP(G124,'Budget Worksheet'!$B$4:$B$234,'Budget Worksheet'!$S$4:$S$234,0)</f>
        <v>0</v>
      </c>
      <c r="P124" s="113">
        <f>_xlfn.XLOOKUP(G124,'Budget Worksheet'!$B$4:$B$234,'Budget Worksheet'!$U$4:$U$234,0)</f>
        <v>0</v>
      </c>
      <c r="Q124" s="107" t="e">
        <f>MATCH(G124,'Budget Worksheet'!$B$5:$B$234,0)</f>
        <v>#N/A</v>
      </c>
      <c r="R124" s="112">
        <f t="shared" si="5"/>
        <v>0</v>
      </c>
      <c r="S124" s="108"/>
    </row>
    <row r="125" spans="1:19" x14ac:dyDescent="0.25">
      <c r="A125" s="107">
        <v>121</v>
      </c>
      <c r="B125" s="105" t="s">
        <v>71</v>
      </c>
      <c r="C125" s="105" t="str">
        <f t="shared" si="6"/>
        <v>22</v>
      </c>
      <c r="D125" s="105">
        <v>22200</v>
      </c>
      <c r="E125" s="106" t="s">
        <v>1040</v>
      </c>
      <c r="F125" s="107" t="str">
        <f t="shared" si="7"/>
        <v>22200 Accrued Expenses</v>
      </c>
      <c r="G125" s="105" t="s">
        <v>411</v>
      </c>
      <c r="H125" s="107" t="s">
        <v>210</v>
      </c>
      <c r="I125" s="112">
        <v>0</v>
      </c>
      <c r="J125" s="113">
        <f>SUMIFS('Budget Worksheet'!$J$5:$J$234,'Budget Worksheet'!$B$5:$B$234,'Master Budget'!G125)</f>
        <v>0</v>
      </c>
      <c r="K125" s="113"/>
      <c r="L125" s="113">
        <f>SUMIFS('Budget Worksheet'!$L$5:$L$234,'Budget Worksheet'!$B$5:$B$234,'Master Budget'!G125)</f>
        <v>0</v>
      </c>
      <c r="M125" s="113">
        <f>_xlfn.XLOOKUP(G125,'Budget Worksheet'!$B$5:$B$234,'Budget Worksheet'!$N$5:$N$234,0)</f>
        <v>0</v>
      </c>
      <c r="N125" s="113">
        <f>_xlfn.XLOOKUP(G125,'Budget Worksheet'!$B$5:$B$234,'Budget Worksheet'!$P$5:$P$234,0)</f>
        <v>0</v>
      </c>
      <c r="O125" s="113">
        <f>_xlfn.XLOOKUP(G125,'Budget Worksheet'!$B$4:$B$234,'Budget Worksheet'!$S$4:$S$234,0)</f>
        <v>0</v>
      </c>
      <c r="P125" s="113">
        <f>_xlfn.XLOOKUP(G125,'Budget Worksheet'!$B$4:$B$234,'Budget Worksheet'!$U$4:$U$234,0)</f>
        <v>0</v>
      </c>
      <c r="Q125" s="107" t="e">
        <f>MATCH(G125,'Budget Worksheet'!$B$5:$B$234,0)</f>
        <v>#N/A</v>
      </c>
      <c r="R125" s="112">
        <f t="shared" si="5"/>
        <v>0</v>
      </c>
      <c r="S125" s="108"/>
    </row>
    <row r="126" spans="1:19" x14ac:dyDescent="0.25">
      <c r="A126" s="107">
        <v>122</v>
      </c>
      <c r="B126" s="105" t="s">
        <v>71</v>
      </c>
      <c r="C126" s="105" t="str">
        <f t="shared" si="6"/>
        <v>22</v>
      </c>
      <c r="D126" s="105">
        <v>22200</v>
      </c>
      <c r="E126" s="106" t="s">
        <v>1040</v>
      </c>
      <c r="F126" s="107" t="str">
        <f t="shared" si="7"/>
        <v>22200 Accrued Expenses</v>
      </c>
      <c r="G126" s="105" t="s">
        <v>412</v>
      </c>
      <c r="H126" s="107" t="s">
        <v>217</v>
      </c>
      <c r="I126" s="112">
        <v>0</v>
      </c>
      <c r="J126" s="113">
        <f>SUMIFS('Budget Worksheet'!$J$5:$J$234,'Budget Worksheet'!$B$5:$B$234,'Master Budget'!G126)</f>
        <v>0</v>
      </c>
      <c r="K126" s="113"/>
      <c r="L126" s="113">
        <f>SUMIFS('Budget Worksheet'!$L$5:$L$234,'Budget Worksheet'!$B$5:$B$234,'Master Budget'!G126)</f>
        <v>0</v>
      </c>
      <c r="M126" s="113">
        <f>_xlfn.XLOOKUP(G126,'Budget Worksheet'!$B$5:$B$234,'Budget Worksheet'!$N$5:$N$234,0)</f>
        <v>0</v>
      </c>
      <c r="N126" s="113">
        <f>_xlfn.XLOOKUP(G126,'Budget Worksheet'!$B$5:$B$234,'Budget Worksheet'!$P$5:$P$234,0)</f>
        <v>0</v>
      </c>
      <c r="O126" s="113">
        <f>_xlfn.XLOOKUP(G126,'Budget Worksheet'!$B$4:$B$234,'Budget Worksheet'!$S$4:$S$234,0)</f>
        <v>0</v>
      </c>
      <c r="P126" s="113">
        <f>_xlfn.XLOOKUP(G126,'Budget Worksheet'!$B$4:$B$234,'Budget Worksheet'!$U$4:$U$234,0)</f>
        <v>0</v>
      </c>
      <c r="Q126" s="107" t="e">
        <f>MATCH(G126,'Budget Worksheet'!$B$5:$B$234,0)</f>
        <v>#N/A</v>
      </c>
      <c r="R126" s="112">
        <f t="shared" si="5"/>
        <v>0</v>
      </c>
      <c r="S126" s="108"/>
    </row>
    <row r="127" spans="1:19" x14ac:dyDescent="0.25">
      <c r="A127" s="107">
        <v>123</v>
      </c>
      <c r="B127" s="105" t="s">
        <v>71</v>
      </c>
      <c r="C127" s="105" t="str">
        <f t="shared" si="6"/>
        <v>22</v>
      </c>
      <c r="D127" s="105">
        <v>22200</v>
      </c>
      <c r="E127" s="106" t="s">
        <v>1040</v>
      </c>
      <c r="F127" s="107" t="str">
        <f t="shared" si="7"/>
        <v>22200 Accrued Expenses</v>
      </c>
      <c r="G127" s="105" t="s">
        <v>413</v>
      </c>
      <c r="H127" s="107" t="s">
        <v>219</v>
      </c>
      <c r="I127" s="112">
        <v>0</v>
      </c>
      <c r="J127" s="113">
        <f>SUMIFS('Budget Worksheet'!$J$5:$J$234,'Budget Worksheet'!$B$5:$B$234,'Master Budget'!G127)</f>
        <v>0</v>
      </c>
      <c r="K127" s="113"/>
      <c r="L127" s="113">
        <f>SUMIFS('Budget Worksheet'!$L$5:$L$234,'Budget Worksheet'!$B$5:$B$234,'Master Budget'!G127)</f>
        <v>0</v>
      </c>
      <c r="M127" s="113">
        <f>_xlfn.XLOOKUP(G127,'Budget Worksheet'!$B$5:$B$234,'Budget Worksheet'!$N$5:$N$234,0)</f>
        <v>0</v>
      </c>
      <c r="N127" s="113">
        <f>_xlfn.XLOOKUP(G127,'Budget Worksheet'!$B$5:$B$234,'Budget Worksheet'!$P$5:$P$234,0)</f>
        <v>0</v>
      </c>
      <c r="O127" s="113">
        <f>_xlfn.XLOOKUP(G127,'Budget Worksheet'!$B$4:$B$234,'Budget Worksheet'!$S$4:$S$234,0)</f>
        <v>0</v>
      </c>
      <c r="P127" s="113">
        <f>_xlfn.XLOOKUP(G127,'Budget Worksheet'!$B$4:$B$234,'Budget Worksheet'!$U$4:$U$234,0)</f>
        <v>0</v>
      </c>
      <c r="Q127" s="107" t="e">
        <f>MATCH(G127,'Budget Worksheet'!$B$5:$B$234,0)</f>
        <v>#N/A</v>
      </c>
      <c r="R127" s="112">
        <f t="shared" si="5"/>
        <v>0</v>
      </c>
      <c r="S127" s="108"/>
    </row>
    <row r="128" spans="1:19" x14ac:dyDescent="0.25">
      <c r="A128" s="107">
        <v>124</v>
      </c>
      <c r="B128" s="105" t="s">
        <v>1049</v>
      </c>
      <c r="C128" s="105" t="str">
        <f t="shared" si="6"/>
        <v>22</v>
      </c>
      <c r="D128" s="105">
        <v>29100</v>
      </c>
      <c r="E128" s="106" t="s">
        <v>1050</v>
      </c>
      <c r="F128" s="107" t="str">
        <f t="shared" si="7"/>
        <v>29100 Unrestricted</v>
      </c>
      <c r="G128" s="105" t="s">
        <v>414</v>
      </c>
      <c r="H128" s="107" t="s">
        <v>246</v>
      </c>
      <c r="I128" s="112">
        <v>0</v>
      </c>
      <c r="J128" s="113">
        <f>SUMIFS('Budget Worksheet'!$J$5:$J$234,'Budget Worksheet'!$B$5:$B$234,'Master Budget'!G128)</f>
        <v>0</v>
      </c>
      <c r="K128" s="113"/>
      <c r="L128" s="113">
        <f>SUMIFS('Budget Worksheet'!$L$5:$L$234,'Budget Worksheet'!$B$5:$B$234,'Master Budget'!G128)</f>
        <v>0</v>
      </c>
      <c r="M128" s="113">
        <f>_xlfn.XLOOKUP(G128,'Budget Worksheet'!$B$5:$B$234,'Budget Worksheet'!$N$5:$N$234,0)</f>
        <v>0</v>
      </c>
      <c r="N128" s="113">
        <f>_xlfn.XLOOKUP(G128,'Budget Worksheet'!$B$5:$B$234,'Budget Worksheet'!$P$5:$P$234,0)</f>
        <v>0</v>
      </c>
      <c r="O128" s="113">
        <f>_xlfn.XLOOKUP(G128,'Budget Worksheet'!$B$4:$B$234,'Budget Worksheet'!$S$4:$S$234,0)</f>
        <v>0</v>
      </c>
      <c r="P128" s="113">
        <f>_xlfn.XLOOKUP(G128,'Budget Worksheet'!$B$4:$B$234,'Budget Worksheet'!$U$4:$U$234,0)</f>
        <v>0</v>
      </c>
      <c r="Q128" s="107" t="e">
        <f>MATCH(G128,'Budget Worksheet'!$B$5:$B$234,0)</f>
        <v>#N/A</v>
      </c>
      <c r="R128" s="112">
        <f t="shared" si="5"/>
        <v>0</v>
      </c>
      <c r="S128" s="108"/>
    </row>
    <row r="129" spans="1:19" x14ac:dyDescent="0.25">
      <c r="A129" s="107">
        <v>125</v>
      </c>
      <c r="B129" s="105" t="s">
        <v>97</v>
      </c>
      <c r="C129" s="105" t="str">
        <f t="shared" si="6"/>
        <v>22</v>
      </c>
      <c r="D129" s="105">
        <v>70</v>
      </c>
      <c r="E129" s="106" t="s">
        <v>20</v>
      </c>
      <c r="F129" s="107" t="str">
        <f t="shared" si="7"/>
        <v>70 Grant revenue</v>
      </c>
      <c r="G129" s="105" t="s">
        <v>415</v>
      </c>
      <c r="H129" s="107" t="s">
        <v>416</v>
      </c>
      <c r="I129" s="112">
        <v>-50000</v>
      </c>
      <c r="J129" s="113">
        <f>SUMIFS('Budget Worksheet'!$J$5:$J$234,'Budget Worksheet'!$B$5:$B$234,'Master Budget'!G129)</f>
        <v>-50000</v>
      </c>
      <c r="K129" s="113">
        <f>_xlfn.XLOOKUP(G129,'Budget Worksheet'!$B$5:$B$234,'Budget Worksheet'!$G$5:$G$234,0)</f>
        <v>-16987.8</v>
      </c>
      <c r="L129" s="113">
        <f>SUMIFS('Budget Worksheet'!$L$5:$L$234,'Budget Worksheet'!$B$5:$B$234,'Master Budget'!G129)</f>
        <v>-50000</v>
      </c>
      <c r="M129" s="113">
        <f>_xlfn.XLOOKUP(G129,'Budget Worksheet'!$B$5:$B$234,'Budget Worksheet'!$N$5:$N$234,0)</f>
        <v>-50000</v>
      </c>
      <c r="N129" s="113">
        <f>_xlfn.XLOOKUP(G129,'Budget Worksheet'!$B$5:$B$234,'Budget Worksheet'!$P$5:$P$234,0)</f>
        <v>-50000</v>
      </c>
      <c r="O129" s="113">
        <f>_xlfn.XLOOKUP(G129,'Budget Worksheet'!$B$4:$B$234,'Budget Worksheet'!$S$4:$S$234,0)</f>
        <v>-10000</v>
      </c>
      <c r="P129" s="113">
        <f>_xlfn.XLOOKUP(G129,'Budget Worksheet'!$B$4:$B$234,'Budget Worksheet'!$U$4:$U$234,0)</f>
        <v>-60000</v>
      </c>
      <c r="Q129" s="107">
        <f>MATCH(G129,'Budget Worksheet'!$B$5:$B$234,0)</f>
        <v>61</v>
      </c>
      <c r="R129" s="112">
        <f t="shared" si="5"/>
        <v>-266987.8</v>
      </c>
      <c r="S129" s="108"/>
    </row>
    <row r="130" spans="1:19" x14ac:dyDescent="0.25">
      <c r="A130" s="107">
        <v>126</v>
      </c>
      <c r="B130" s="105" t="s">
        <v>97</v>
      </c>
      <c r="C130" s="105" t="str">
        <f t="shared" si="6"/>
        <v>22</v>
      </c>
      <c r="D130" s="105">
        <v>30</v>
      </c>
      <c r="E130" s="106" t="s">
        <v>6</v>
      </c>
      <c r="F130" s="107" t="str">
        <f t="shared" si="7"/>
        <v>30 Charges for services</v>
      </c>
      <c r="G130" s="105" t="s">
        <v>417</v>
      </c>
      <c r="H130" s="107" t="s">
        <v>418</v>
      </c>
      <c r="I130" s="112">
        <v>-200000</v>
      </c>
      <c r="J130" s="113">
        <f>SUMIFS('Budget Worksheet'!$J$5:$J$234,'Budget Worksheet'!$B$5:$B$234,'Master Budget'!G130)</f>
        <v>-1300000</v>
      </c>
      <c r="K130" s="113">
        <f>_xlfn.XLOOKUP(G130,'Budget Worksheet'!$B$5:$B$234,'Budget Worksheet'!$G$5:$G$234,0)</f>
        <v>-4073511.1885714289</v>
      </c>
      <c r="L130" s="113">
        <f>SUMIFS('Budget Worksheet'!$L$5:$L$234,'Budget Worksheet'!$B$5:$B$234,'Master Budget'!G130)</f>
        <v>-600000</v>
      </c>
      <c r="M130" s="113">
        <f>_xlfn.XLOOKUP(G130,'Budget Worksheet'!$B$5:$B$234,'Budget Worksheet'!$N$5:$N$234,0)</f>
        <v>-1000000</v>
      </c>
      <c r="N130" s="113">
        <f>_xlfn.XLOOKUP(G130,'Budget Worksheet'!$B$5:$B$234,'Budget Worksheet'!$P$5:$P$234,0)</f>
        <v>-900000</v>
      </c>
      <c r="O130" s="113">
        <f>_xlfn.XLOOKUP(G130,'Budget Worksheet'!$B$4:$B$234,'Budget Worksheet'!$S$4:$S$234,0)</f>
        <v>-2200000</v>
      </c>
      <c r="P130" s="113">
        <f>_xlfn.XLOOKUP(G130,'Budget Worksheet'!$B$4:$B$234,'Budget Worksheet'!$U$4:$U$234,0)</f>
        <v>-1686024</v>
      </c>
      <c r="Q130" s="107">
        <f>MATCH(G130,'Budget Worksheet'!$B$5:$B$234,0)</f>
        <v>62</v>
      </c>
      <c r="R130" s="112">
        <f t="shared" si="5"/>
        <v>-8073511.1885714289</v>
      </c>
      <c r="S130" s="108"/>
    </row>
    <row r="131" spans="1:19" x14ac:dyDescent="0.25">
      <c r="A131" s="107">
        <v>127</v>
      </c>
      <c r="B131" s="105" t="s">
        <v>97</v>
      </c>
      <c r="C131" s="105" t="str">
        <f t="shared" si="6"/>
        <v>22</v>
      </c>
      <c r="D131" s="105">
        <v>30</v>
      </c>
      <c r="E131" s="106" t="s">
        <v>6</v>
      </c>
      <c r="F131" s="107" t="str">
        <f t="shared" si="7"/>
        <v>30 Charges for services</v>
      </c>
      <c r="G131" s="105" t="s">
        <v>419</v>
      </c>
      <c r="H131" s="107" t="s">
        <v>1068</v>
      </c>
      <c r="I131" s="112">
        <v>0</v>
      </c>
      <c r="J131" s="113">
        <f>SUMIFS('Budget Worksheet'!$J$5:$J$234,'Budget Worksheet'!$B$5:$B$234,'Master Budget'!G131)</f>
        <v>0</v>
      </c>
      <c r="K131" s="113"/>
      <c r="L131" s="113">
        <f>SUMIFS('Budget Worksheet'!$L$5:$L$234,'Budget Worksheet'!$B$5:$B$234,'Master Budget'!G131)</f>
        <v>0</v>
      </c>
      <c r="M131" s="113">
        <f>_xlfn.XLOOKUP(G131,'Budget Worksheet'!$B$5:$B$234,'Budget Worksheet'!$N$5:$N$234,0)</f>
        <v>0</v>
      </c>
      <c r="N131" s="113">
        <f>_xlfn.XLOOKUP(G131,'Budget Worksheet'!$B$5:$B$234,'Budget Worksheet'!$P$5:$P$234,0)</f>
        <v>0</v>
      </c>
      <c r="O131" s="113">
        <f>_xlfn.XLOOKUP(G131,'Budget Worksheet'!$B$4:$B$234,'Budget Worksheet'!$S$4:$S$234,0)</f>
        <v>0</v>
      </c>
      <c r="P131" s="113">
        <f>_xlfn.XLOOKUP(G131,'Budget Worksheet'!$B$4:$B$234,'Budget Worksheet'!$U$4:$U$234,0)</f>
        <v>0</v>
      </c>
      <c r="Q131" s="107">
        <f>MATCH(G131,'Budget Worksheet'!$B$5:$B$234,0)</f>
        <v>63</v>
      </c>
      <c r="R131" s="112">
        <f t="shared" si="5"/>
        <v>0</v>
      </c>
      <c r="S131" s="108"/>
    </row>
    <row r="132" spans="1:19" x14ac:dyDescent="0.25">
      <c r="A132" s="107">
        <v>128</v>
      </c>
      <c r="B132" s="105" t="s">
        <v>97</v>
      </c>
      <c r="C132" s="105" t="str">
        <f t="shared" si="6"/>
        <v>22</v>
      </c>
      <c r="D132" s="105">
        <v>30</v>
      </c>
      <c r="E132" s="106" t="s">
        <v>6</v>
      </c>
      <c r="F132" s="107" t="str">
        <f t="shared" ref="F132" si="8">D132&amp;" "&amp;E132</f>
        <v>30 Charges for services</v>
      </c>
      <c r="G132" s="105" t="s">
        <v>421</v>
      </c>
      <c r="H132" s="116" t="s">
        <v>99</v>
      </c>
      <c r="I132" s="112">
        <v>0</v>
      </c>
      <c r="J132" s="113">
        <f>SUMIFS('Budget Worksheet'!$J$5:$J$234,'Budget Worksheet'!$B$5:$B$234,'Master Budget'!G132)</f>
        <v>0</v>
      </c>
      <c r="K132" s="113"/>
      <c r="L132" s="113">
        <f>SUMIFS('Budget Worksheet'!$L$5:$L$234,'Budget Worksheet'!$B$5:$B$234,'Master Budget'!G132)</f>
        <v>0</v>
      </c>
      <c r="M132" s="113">
        <f>_xlfn.XLOOKUP(G132,'Budget Worksheet'!$B$5:$B$234,'Budget Worksheet'!$N$5:$N$234,0)</f>
        <v>0</v>
      </c>
      <c r="N132" s="113">
        <f>_xlfn.XLOOKUP(G132,'Budget Worksheet'!$B$5:$B$234,'Budget Worksheet'!$P$5:$P$234,0)</f>
        <v>0</v>
      </c>
      <c r="O132" s="113">
        <f>_xlfn.XLOOKUP(G132,'Budget Worksheet'!$B$4:$B$234,'Budget Worksheet'!$S$4:$S$234,0)</f>
        <v>0</v>
      </c>
      <c r="P132" s="113">
        <f>_xlfn.XLOOKUP(G132,'Budget Worksheet'!$B$4:$B$234,'Budget Worksheet'!$U$4:$U$234,0)</f>
        <v>0</v>
      </c>
      <c r="Q132" s="107">
        <f>MATCH(G132,'Budget Worksheet'!$B$5:$B$234,0)</f>
        <v>64</v>
      </c>
      <c r="R132" s="112">
        <f t="shared" ref="R132:R198" si="9">SUM(I132:N132)</f>
        <v>0</v>
      </c>
      <c r="S132" s="108"/>
    </row>
    <row r="133" spans="1:19" x14ac:dyDescent="0.25">
      <c r="C133" s="105" t="str">
        <f t="shared" ref="C133:C199" si="10">LEFT(G133,2)</f>
        <v>22</v>
      </c>
      <c r="G133" s="105" t="s">
        <v>422</v>
      </c>
      <c r="H133" s="116" t="s">
        <v>261</v>
      </c>
      <c r="I133" s="112"/>
      <c r="J133" s="113">
        <f>SUMIFS('Budget Worksheet'!$J$5:$J$234,'Budget Worksheet'!$B$5:$B$234,'Master Budget'!G133)</f>
        <v>0</v>
      </c>
      <c r="K133" s="113"/>
      <c r="L133" s="113">
        <f>SUMIFS('Budget Worksheet'!$L$5:$L$234,'Budget Worksheet'!$B$5:$B$234,'Master Budget'!G133)</f>
        <v>0</v>
      </c>
      <c r="M133" s="113">
        <f>_xlfn.XLOOKUP(G133,'Budget Worksheet'!$B$5:$B$234,'Budget Worksheet'!$N$5:$N$234,0)</f>
        <v>0</v>
      </c>
      <c r="N133" s="113">
        <f>_xlfn.XLOOKUP(G133,'Budget Worksheet'!$B$5:$B$234,'Budget Worksheet'!$P$5:$P$234,0)</f>
        <v>0</v>
      </c>
      <c r="O133" s="113">
        <f>_xlfn.XLOOKUP(G133,'Budget Worksheet'!$B$4:$B$234,'Budget Worksheet'!$S$4:$S$234,0)</f>
        <v>-14000</v>
      </c>
      <c r="P133" s="113">
        <f>_xlfn.XLOOKUP(G133,'Budget Worksheet'!$B$4:$B$234,'Budget Worksheet'!$U$4:$U$234,0)</f>
        <v>-12000</v>
      </c>
      <c r="Q133" s="107">
        <f>MATCH(G133,'Budget Worksheet'!$B$5:$B$234,0)</f>
        <v>65</v>
      </c>
      <c r="R133" s="112">
        <f t="shared" si="9"/>
        <v>0</v>
      </c>
      <c r="S133" s="108"/>
    </row>
    <row r="134" spans="1:19" x14ac:dyDescent="0.25">
      <c r="A134" s="107">
        <v>129</v>
      </c>
      <c r="B134" s="105" t="s">
        <v>97</v>
      </c>
      <c r="C134" s="105" t="str">
        <f t="shared" si="10"/>
        <v>22</v>
      </c>
      <c r="D134" s="105">
        <v>0</v>
      </c>
      <c r="E134" s="106" t="e">
        <v>#N/A</v>
      </c>
      <c r="F134" s="107" t="e">
        <f t="shared" ref="F134:F142" si="11">D134&amp;" "&amp;E134</f>
        <v>#N/A</v>
      </c>
      <c r="G134" s="177" t="s">
        <v>423</v>
      </c>
      <c r="H134" s="178" t="s">
        <v>267</v>
      </c>
      <c r="I134" s="112">
        <v>0</v>
      </c>
      <c r="J134" s="113">
        <f>SUMIFS('Budget Worksheet'!$J$5:$J$234,'Budget Worksheet'!$B$5:$B$234,'Master Budget'!G134)</f>
        <v>0</v>
      </c>
      <c r="K134" s="113"/>
      <c r="L134" s="113">
        <f>SUMIFS('Budget Worksheet'!$L$5:$L$234,'Budget Worksheet'!$B$5:$B$234,'Master Budget'!G134)</f>
        <v>0</v>
      </c>
      <c r="M134" s="113">
        <f>_xlfn.XLOOKUP(G134,'Budget Worksheet'!$B$5:$B$234,'Budget Worksheet'!$N$5:$N$234,0)</f>
        <v>0</v>
      </c>
      <c r="N134" s="113">
        <f>_xlfn.XLOOKUP(G134,'Budget Worksheet'!$B$5:$B$234,'Budget Worksheet'!$P$5:$P$234,0)</f>
        <v>0</v>
      </c>
      <c r="O134" s="113">
        <f>_xlfn.XLOOKUP(G134,'Budget Worksheet'!$B$4:$B$234,'Budget Worksheet'!$S$4:$S$234,0)</f>
        <v>0</v>
      </c>
      <c r="P134" s="113">
        <f>_xlfn.XLOOKUP(G134,'Budget Worksheet'!$B$4:$B$234,'Budget Worksheet'!$U$4:$U$234,0)</f>
        <v>0</v>
      </c>
      <c r="Q134" s="107" t="e">
        <f>MATCH(G134,'Budget Worksheet'!$B$5:$B$234,0)</f>
        <v>#N/A</v>
      </c>
      <c r="R134" s="112">
        <f t="shared" si="9"/>
        <v>0</v>
      </c>
      <c r="S134" s="108"/>
    </row>
    <row r="135" spans="1:19" x14ac:dyDescent="0.25">
      <c r="A135" s="107">
        <v>130</v>
      </c>
      <c r="B135" s="105" t="s">
        <v>102</v>
      </c>
      <c r="C135" s="105" t="str">
        <f t="shared" si="10"/>
        <v>22</v>
      </c>
      <c r="D135" s="105">
        <v>100</v>
      </c>
      <c r="E135" s="106" t="s">
        <v>9</v>
      </c>
      <c r="F135" s="107" t="str">
        <f t="shared" si="11"/>
        <v>100 Salaries and Benefits</v>
      </c>
      <c r="G135" s="105" t="s">
        <v>424</v>
      </c>
      <c r="H135" s="116" t="s">
        <v>101</v>
      </c>
      <c r="I135" s="112">
        <v>112400</v>
      </c>
      <c r="J135" s="113">
        <f>SUMIFS('Budget Worksheet'!$J$5:$J$234,'Budget Worksheet'!$B$5:$B$234,'Master Budget'!G135)</f>
        <v>600000</v>
      </c>
      <c r="K135" s="113">
        <f>_xlfn.XLOOKUP(G135,'Budget Worksheet'!$B$5:$B$234,'Budget Worksheet'!$G$5:$G$234,0)</f>
        <v>1351505.6571428571</v>
      </c>
      <c r="L135" s="113">
        <f>SUMIFS('Budget Worksheet'!$L$5:$L$234,'Budget Worksheet'!$B$5:$B$234,'Master Budget'!G135)</f>
        <v>356000</v>
      </c>
      <c r="M135" s="113">
        <f>_xlfn.XLOOKUP(G135,'Budget Worksheet'!$B$5:$B$234,'Budget Worksheet'!$N$5:$N$234,0)</f>
        <v>550000</v>
      </c>
      <c r="N135" s="113">
        <f>_xlfn.XLOOKUP(G135,'Budget Worksheet'!$B$5:$B$234,'Budget Worksheet'!$P$5:$P$234,0)</f>
        <v>724500</v>
      </c>
      <c r="O135" s="113">
        <f>_xlfn.XLOOKUP(G135,'Budget Worksheet'!$B$4:$B$234,'Budget Worksheet'!$S$4:$S$234,0)</f>
        <v>850000</v>
      </c>
      <c r="P135" s="113">
        <f>_xlfn.XLOOKUP(G135,'Budget Worksheet'!$B$4:$B$234,'Budget Worksheet'!$U$4:$U$234,0)</f>
        <v>869914</v>
      </c>
      <c r="Q135" s="107">
        <f>MATCH(G135,'Budget Worksheet'!$B$5:$B$234,0)</f>
        <v>66</v>
      </c>
      <c r="R135" s="112">
        <f t="shared" si="9"/>
        <v>3694405.6571428571</v>
      </c>
      <c r="S135" s="108"/>
    </row>
    <row r="136" spans="1:19" x14ac:dyDescent="0.25">
      <c r="A136" s="107">
        <v>131</v>
      </c>
      <c r="B136" s="105" t="s">
        <v>102</v>
      </c>
      <c r="C136" s="105" t="str">
        <f t="shared" si="10"/>
        <v>22</v>
      </c>
      <c r="D136" s="105">
        <v>100</v>
      </c>
      <c r="E136" s="106" t="s">
        <v>9</v>
      </c>
      <c r="F136" s="107" t="str">
        <f t="shared" si="11"/>
        <v>100 Salaries and Benefits</v>
      </c>
      <c r="G136" s="105" t="s">
        <v>425</v>
      </c>
      <c r="H136" s="107" t="s">
        <v>104</v>
      </c>
      <c r="I136" s="112">
        <v>8598.6</v>
      </c>
      <c r="J136" s="113">
        <f>SUMIFS('Budget Worksheet'!$J$5:$J$234,'Budget Worksheet'!$B$5:$B$234,'Master Budget'!G136)</f>
        <v>46000</v>
      </c>
      <c r="K136" s="113">
        <f>_xlfn.XLOOKUP(G136,'Budget Worksheet'!$B$5:$B$234,'Budget Worksheet'!$G$5:$G$234,0)</f>
        <v>103599.05142857143</v>
      </c>
      <c r="L136" s="113">
        <f>SUMIFS('Budget Worksheet'!$L$5:$L$234,'Budget Worksheet'!$B$5:$B$234,'Master Budget'!G136)</f>
        <v>24939</v>
      </c>
      <c r="M136" s="113">
        <f>_xlfn.XLOOKUP(G136,'Budget Worksheet'!$B$5:$B$234,'Budget Worksheet'!$N$5:$N$234,0)</f>
        <v>46000</v>
      </c>
      <c r="N136" s="113">
        <f>_xlfn.XLOOKUP(G136,'Budget Worksheet'!$B$5:$B$234,'Budget Worksheet'!$P$5:$P$234,0)</f>
        <v>50604.75</v>
      </c>
      <c r="O136" s="113">
        <f>_xlfn.XLOOKUP(G136,'Budget Worksheet'!$B$4:$B$234,'Budget Worksheet'!$S$4:$S$234,0)</f>
        <v>67000</v>
      </c>
      <c r="P136" s="113">
        <f>_xlfn.XLOOKUP(G136,'Budget Worksheet'!$B$4:$B$234,'Budget Worksheet'!$U$4:$U$234,0)</f>
        <v>66548.421000000002</v>
      </c>
      <c r="Q136" s="107">
        <f>MATCH(G136,'Budget Worksheet'!$B$5:$B$234,0)</f>
        <v>67</v>
      </c>
      <c r="R136" s="112">
        <f t="shared" si="9"/>
        <v>279741.40142857144</v>
      </c>
      <c r="S136" s="108"/>
    </row>
    <row r="137" spans="1:19" x14ac:dyDescent="0.25">
      <c r="A137" s="107">
        <v>132</v>
      </c>
      <c r="B137" s="105" t="s">
        <v>102</v>
      </c>
      <c r="C137" s="105" t="str">
        <f t="shared" si="10"/>
        <v>22</v>
      </c>
      <c r="D137" s="105">
        <v>100</v>
      </c>
      <c r="E137" s="106" t="s">
        <v>9</v>
      </c>
      <c r="F137" s="107" t="str">
        <f t="shared" si="11"/>
        <v>100 Salaries and Benefits</v>
      </c>
      <c r="G137" s="105" t="s">
        <v>426</v>
      </c>
      <c r="H137" s="107" t="s">
        <v>106</v>
      </c>
      <c r="I137" s="112">
        <v>0</v>
      </c>
      <c r="J137" s="113">
        <f>SUMIFS('Budget Worksheet'!$J$5:$J$234,'Budget Worksheet'!$B$5:$B$234,'Master Budget'!G137)</f>
        <v>0</v>
      </c>
      <c r="K137" s="113"/>
      <c r="L137" s="113">
        <f>SUMIFS('Budget Worksheet'!$L$5:$L$234,'Budget Worksheet'!$B$5:$B$234,'Master Budget'!G137)</f>
        <v>0</v>
      </c>
      <c r="M137" s="113">
        <f>_xlfn.XLOOKUP(G137,'Budget Worksheet'!$B$5:$B$234,'Budget Worksheet'!$N$5:$N$234,0)</f>
        <v>0</v>
      </c>
      <c r="N137" s="113">
        <f>_xlfn.XLOOKUP(G137,'Budget Worksheet'!$B$5:$B$234,'Budget Worksheet'!$P$5:$P$234,0)</f>
        <v>0</v>
      </c>
      <c r="O137" s="113">
        <f>_xlfn.XLOOKUP(G137,'Budget Worksheet'!$B$4:$B$234,'Budget Worksheet'!$S$4:$S$234,0)</f>
        <v>40000</v>
      </c>
      <c r="P137" s="113">
        <f>_xlfn.XLOOKUP(G137,'Budget Worksheet'!$B$4:$B$234,'Budget Worksheet'!$U$4:$U$234,0)</f>
        <v>169982.8</v>
      </c>
      <c r="Q137" s="107">
        <f>MATCH(G137,'Budget Worksheet'!$B$5:$B$234,0)</f>
        <v>68</v>
      </c>
      <c r="R137" s="112">
        <f t="shared" si="9"/>
        <v>0</v>
      </c>
      <c r="S137" s="108"/>
    </row>
    <row r="138" spans="1:19" x14ac:dyDescent="0.25">
      <c r="B138" s="105" t="s">
        <v>102</v>
      </c>
      <c r="C138" s="105" t="str">
        <f t="shared" ref="C138" si="12">LEFT(G138,2)</f>
        <v>22</v>
      </c>
      <c r="D138" s="105">
        <v>100</v>
      </c>
      <c r="E138" s="106" t="s">
        <v>9</v>
      </c>
      <c r="F138" s="107" t="str">
        <f t="shared" ref="F138" si="13">D138&amp;" "&amp;E138</f>
        <v>100 Salaries and Benefits</v>
      </c>
      <c r="G138" s="105" t="s">
        <v>838</v>
      </c>
      <c r="H138" s="107" t="s">
        <v>108</v>
      </c>
      <c r="I138" s="112"/>
      <c r="J138" s="113"/>
      <c r="K138" s="113"/>
      <c r="L138" s="113"/>
      <c r="M138" s="113"/>
      <c r="N138" s="113"/>
      <c r="O138" s="113">
        <f>_xlfn.XLOOKUP(G138,'Budget Worksheet'!$B$4:$B$234,'Budget Worksheet'!$S$4:$S$234,0)</f>
        <v>60000</v>
      </c>
      <c r="P138" s="113">
        <f>_xlfn.XLOOKUP(G138,'Budget Worksheet'!$B$4:$B$234,'Budget Worksheet'!$U$4:$U$234,0)</f>
        <v>115322.08</v>
      </c>
      <c r="R138" s="112"/>
      <c r="S138" s="108"/>
    </row>
    <row r="139" spans="1:19" x14ac:dyDescent="0.25">
      <c r="A139" s="107">
        <v>133</v>
      </c>
      <c r="B139" s="105" t="s">
        <v>102</v>
      </c>
      <c r="C139" s="105" t="str">
        <f t="shared" si="10"/>
        <v>22</v>
      </c>
      <c r="D139" s="105">
        <v>100</v>
      </c>
      <c r="E139" s="106" t="s">
        <v>9</v>
      </c>
      <c r="F139" s="107" t="str">
        <f t="shared" si="11"/>
        <v>100 Salaries and Benefits</v>
      </c>
      <c r="G139" s="105" t="s">
        <v>427</v>
      </c>
      <c r="H139" s="107" t="s">
        <v>110</v>
      </c>
      <c r="I139" s="112">
        <v>2956.12</v>
      </c>
      <c r="J139" s="113">
        <f>SUMIFS('Budget Worksheet'!$J$5:$J$234,'Budget Worksheet'!$B$5:$B$234,'Master Budget'!G139)</f>
        <v>2956.12</v>
      </c>
      <c r="K139" s="113">
        <f>_xlfn.XLOOKUP(G139,'Budget Worksheet'!$B$5:$B$234,'Budget Worksheet'!$G$5:$G$234,0)</f>
        <v>2106.6857142857143</v>
      </c>
      <c r="L139" s="113">
        <f>SUMIFS('Budget Worksheet'!$L$5:$L$234,'Budget Worksheet'!$B$5:$B$234,'Master Budget'!G139)</f>
        <v>6520</v>
      </c>
      <c r="M139" s="113">
        <f>_xlfn.XLOOKUP(G139,'Budget Worksheet'!$B$5:$B$234,'Budget Worksheet'!$N$5:$N$234,0)</f>
        <v>10000</v>
      </c>
      <c r="N139" s="113">
        <f>_xlfn.XLOOKUP(G139,'Budget Worksheet'!$B$5:$B$234,'Budget Worksheet'!$P$5:$P$234,0)</f>
        <v>13230</v>
      </c>
      <c r="O139" s="113">
        <f>_xlfn.XLOOKUP(G139,'Budget Worksheet'!$B$4:$B$234,'Budget Worksheet'!$S$4:$S$234,0)</f>
        <v>0</v>
      </c>
      <c r="P139" s="113">
        <f>_xlfn.XLOOKUP(G139,'Budget Worksheet'!$B$4:$B$234,'Budget Worksheet'!$U$4:$U$234,0)</f>
        <v>17398.28</v>
      </c>
      <c r="Q139" s="107">
        <f>MATCH(G139,'Budget Worksheet'!$B$5:$B$234,0)</f>
        <v>70</v>
      </c>
      <c r="R139" s="112">
        <f t="shared" si="9"/>
        <v>37768.92571428571</v>
      </c>
      <c r="S139" s="108"/>
    </row>
    <row r="140" spans="1:19" x14ac:dyDescent="0.25">
      <c r="G140" s="194" t="s">
        <v>839</v>
      </c>
      <c r="H140" s="195" t="s">
        <v>112</v>
      </c>
      <c r="I140" s="112"/>
      <c r="J140" s="113"/>
      <c r="K140" s="113"/>
      <c r="L140" s="113"/>
      <c r="M140" s="113"/>
      <c r="N140" s="113"/>
      <c r="O140" s="113">
        <f>_xlfn.XLOOKUP(G140,'Budget Worksheet'!$B$4:$B$234,'Budget Worksheet'!$S$4:$S$234,0)</f>
        <v>0</v>
      </c>
      <c r="P140" s="113">
        <f>_xlfn.XLOOKUP(G140,'Budget Worksheet'!$B$4:$B$234,'Budget Worksheet'!$U$4:$U$234,0)</f>
        <v>0</v>
      </c>
      <c r="R140" s="112"/>
      <c r="S140" s="108"/>
    </row>
    <row r="141" spans="1:19" x14ac:dyDescent="0.25">
      <c r="G141" s="194" t="s">
        <v>840</v>
      </c>
      <c r="H141" s="195" t="s">
        <v>114</v>
      </c>
      <c r="I141" s="112"/>
      <c r="J141" s="113"/>
      <c r="K141" s="113"/>
      <c r="L141" s="113"/>
      <c r="M141" s="113"/>
      <c r="N141" s="113"/>
      <c r="O141" s="113">
        <f>_xlfn.XLOOKUP(G141,'Budget Worksheet'!$B$4:$B$234,'Budget Worksheet'!$S$4:$S$234,0)</f>
        <v>18</v>
      </c>
      <c r="P141" s="113">
        <f>_xlfn.XLOOKUP(G141,'Budget Worksheet'!$B$4:$B$234,'Budget Worksheet'!$U$4:$U$234,0)</f>
        <v>0</v>
      </c>
      <c r="R141" s="112"/>
      <c r="S141" s="108"/>
    </row>
    <row r="142" spans="1:19" x14ac:dyDescent="0.25">
      <c r="A142" s="107">
        <v>134</v>
      </c>
      <c r="B142" s="105" t="s">
        <v>102</v>
      </c>
      <c r="C142" s="105" t="str">
        <f t="shared" si="10"/>
        <v>22</v>
      </c>
      <c r="D142" s="105">
        <v>200</v>
      </c>
      <c r="E142" s="106" t="s">
        <v>10</v>
      </c>
      <c r="F142" s="107" t="str">
        <f t="shared" si="11"/>
        <v>200 General and Administrative</v>
      </c>
      <c r="G142" s="105" t="s">
        <v>428</v>
      </c>
      <c r="H142" s="107" t="s">
        <v>1054</v>
      </c>
      <c r="I142" s="112">
        <v>-5821.0560000000005</v>
      </c>
      <c r="J142" s="113">
        <f>SUMIFS('Budget Worksheet'!$J$5:$J$234,'Budget Worksheet'!$B$5:$B$234,'Master Budget'!G142)</f>
        <v>18000</v>
      </c>
      <c r="K142" s="113">
        <f>_xlfn.XLOOKUP(G142,'Budget Worksheet'!$B$5:$B$234,'Budget Worksheet'!$G$5:$G$234,0)</f>
        <v>58252.542857142857</v>
      </c>
      <c r="L142" s="113">
        <f>SUMIFS('Budget Worksheet'!$L$5:$L$234,'Budget Worksheet'!$B$5:$B$234,'Master Budget'!G142)</f>
        <v>9500</v>
      </c>
      <c r="M142" s="113">
        <f>_xlfn.XLOOKUP(G142,'Budget Worksheet'!$B$5:$B$234,'Budget Worksheet'!$N$5:$N$234,0)</f>
        <v>18000</v>
      </c>
      <c r="N142" s="113">
        <f>_xlfn.XLOOKUP(G142,'Budget Worksheet'!$B$5:$B$234,'Budget Worksheet'!$P$5:$P$234,0)</f>
        <v>25000</v>
      </c>
      <c r="O142" s="113">
        <f>_xlfn.XLOOKUP(G142,'Budget Worksheet'!$B$4:$B$234,'Budget Worksheet'!$S$4:$S$234,0)</f>
        <v>35000</v>
      </c>
      <c r="P142" s="113">
        <f>_xlfn.XLOOKUP(G142,'Budget Worksheet'!$B$4:$B$234,'Budget Worksheet'!$U$4:$U$234,0)</f>
        <v>35000</v>
      </c>
      <c r="Q142" s="107">
        <f>MATCH(G142,'Budget Worksheet'!$B$5:$B$234,0)</f>
        <v>73</v>
      </c>
      <c r="R142" s="112">
        <f t="shared" si="9"/>
        <v>122931.48685714285</v>
      </c>
      <c r="S142" s="108"/>
    </row>
    <row r="143" spans="1:19" x14ac:dyDescent="0.25">
      <c r="C143" s="105" t="str">
        <f t="shared" si="10"/>
        <v>22</v>
      </c>
      <c r="G143" s="105" t="s">
        <v>429</v>
      </c>
      <c r="H143" s="107" t="s">
        <v>295</v>
      </c>
      <c r="I143" s="112"/>
      <c r="J143" s="113">
        <f>SUMIFS('Budget Worksheet'!$J$5:$J$234,'Budget Worksheet'!$B$5:$B$234,'Master Budget'!G143)</f>
        <v>0</v>
      </c>
      <c r="K143" s="113">
        <f>_xlfn.XLOOKUP(G143,'Budget Worksheet'!$B$5:$B$234,'Budget Worksheet'!$G$5:$G$234,0)</f>
        <v>0</v>
      </c>
      <c r="L143" s="113">
        <f>SUMIFS('Budget Worksheet'!$L$5:$L$234,'Budget Worksheet'!$B$5:$B$234,'Master Budget'!G143)</f>
        <v>0</v>
      </c>
      <c r="M143" s="113">
        <f>_xlfn.XLOOKUP(G143,'Budget Worksheet'!$B$5:$B$234,'Budget Worksheet'!$N$5:$N$234,0)</f>
        <v>17000</v>
      </c>
      <c r="N143" s="113">
        <f>_xlfn.XLOOKUP(G143,'Budget Worksheet'!$B$5:$B$234,'Budget Worksheet'!$P$5:$P$234,0)</f>
        <v>0</v>
      </c>
      <c r="O143" s="113">
        <f>_xlfn.XLOOKUP(G143,'Budget Worksheet'!$B$4:$B$234,'Budget Worksheet'!$S$4:$S$234,0)</f>
        <v>0</v>
      </c>
      <c r="P143" s="113">
        <f>_xlfn.XLOOKUP(G143,'Budget Worksheet'!$B$4:$B$234,'Budget Worksheet'!$U$4:$U$234,0)</f>
        <v>0</v>
      </c>
      <c r="Q143" s="107">
        <f>MATCH(G143,'Budget Worksheet'!$B$5:$B$234,0)</f>
        <v>74</v>
      </c>
      <c r="R143" s="112">
        <f t="shared" si="9"/>
        <v>17000</v>
      </c>
      <c r="S143" s="108"/>
    </row>
    <row r="144" spans="1:19" x14ac:dyDescent="0.25">
      <c r="A144" s="107">
        <v>135</v>
      </c>
      <c r="B144" s="105" t="s">
        <v>102</v>
      </c>
      <c r="C144" s="105" t="str">
        <f t="shared" si="10"/>
        <v>22</v>
      </c>
      <c r="D144" s="105">
        <v>200</v>
      </c>
      <c r="E144" s="106" t="s">
        <v>10</v>
      </c>
      <c r="F144" s="107" t="str">
        <f t="shared" ref="F144:F175" si="14">D144&amp;" "&amp;E144</f>
        <v>200 General and Administrative</v>
      </c>
      <c r="G144" s="105" t="s">
        <v>430</v>
      </c>
      <c r="H144" s="107" t="s">
        <v>303</v>
      </c>
      <c r="I144" s="112">
        <v>527.88400000000001</v>
      </c>
      <c r="J144" s="113">
        <f>SUMIFS('Budget Worksheet'!$J$5:$J$234,'Budget Worksheet'!$B$5:$B$234,'Master Budget'!G144)</f>
        <v>1200</v>
      </c>
      <c r="K144" s="113">
        <f>_xlfn.XLOOKUP(G144,'Budget Worksheet'!$B$5:$B$234,'Budget Worksheet'!$G$5:$G$234,0)</f>
        <v>24081.874285714286</v>
      </c>
      <c r="L144" s="113">
        <f>SUMIFS('Budget Worksheet'!$L$5:$L$234,'Budget Worksheet'!$B$5:$B$234,'Master Budget'!G144)</f>
        <v>527.88</v>
      </c>
      <c r="M144" s="113">
        <f>_xlfn.XLOOKUP(G144,'Budget Worksheet'!$B$5:$B$234,'Budget Worksheet'!$N$5:$N$234,0)</f>
        <v>1200</v>
      </c>
      <c r="N144" s="113">
        <f>_xlfn.XLOOKUP(G144,'Budget Worksheet'!$B$5:$B$234,'Budget Worksheet'!$P$5:$P$234,0)</f>
        <v>600</v>
      </c>
      <c r="O144" s="113">
        <f>_xlfn.XLOOKUP(G144,'Budget Worksheet'!$B$4:$B$234,'Budget Worksheet'!$S$4:$S$234,0)</f>
        <v>15000</v>
      </c>
      <c r="P144" s="113">
        <f>_xlfn.XLOOKUP(G144,'Budget Worksheet'!$B$4:$B$234,'Budget Worksheet'!$U$4:$U$234,0)</f>
        <v>15000</v>
      </c>
      <c r="Q144" s="107">
        <f>MATCH(G144,'Budget Worksheet'!$B$5:$B$234,0)</f>
        <v>75</v>
      </c>
      <c r="R144" s="112">
        <f t="shared" si="9"/>
        <v>28137.638285714285</v>
      </c>
      <c r="S144" s="108"/>
    </row>
    <row r="145" spans="1:19" x14ac:dyDescent="0.25">
      <c r="A145" s="107">
        <v>136</v>
      </c>
      <c r="B145" s="105" t="s">
        <v>102</v>
      </c>
      <c r="C145" s="105" t="str">
        <f t="shared" si="10"/>
        <v>22</v>
      </c>
      <c r="D145" s="105">
        <v>500</v>
      </c>
      <c r="E145" s="106" t="s">
        <v>11</v>
      </c>
      <c r="F145" s="107" t="str">
        <f t="shared" si="14"/>
        <v>500 Repairs and Maintenance</v>
      </c>
      <c r="G145" s="105" t="s">
        <v>431</v>
      </c>
      <c r="H145" s="107" t="s">
        <v>432</v>
      </c>
      <c r="I145" s="112">
        <v>20000</v>
      </c>
      <c r="J145" s="113">
        <f>SUMIFS('Budget Worksheet'!$J$5:$J$234,'Budget Worksheet'!$B$5:$B$234,'Master Budget'!G145)</f>
        <v>20000</v>
      </c>
      <c r="K145" s="113">
        <f>_xlfn.XLOOKUP(G145,'Budget Worksheet'!$B$5:$B$234,'Budget Worksheet'!$G$5:$G$234,0)</f>
        <v>1669.1828571428573</v>
      </c>
      <c r="L145" s="113">
        <f>SUMIFS('Budget Worksheet'!$L$5:$L$234,'Budget Worksheet'!$B$5:$B$234,'Master Budget'!G145)</f>
        <v>20000</v>
      </c>
      <c r="M145" s="113">
        <f>_xlfn.XLOOKUP(G145,'Budget Worksheet'!$B$5:$B$234,'Budget Worksheet'!$N$5:$N$234,0)</f>
        <v>20000</v>
      </c>
      <c r="N145" s="113">
        <f>_xlfn.XLOOKUP(G145,'Budget Worksheet'!$B$5:$B$234,'Budget Worksheet'!$P$5:$P$234,0)</f>
        <v>25000</v>
      </c>
      <c r="O145" s="113">
        <f>_xlfn.XLOOKUP(G145,'Budget Worksheet'!$B$4:$B$234,'Budget Worksheet'!$S$4:$S$234,0)</f>
        <v>5000</v>
      </c>
      <c r="P145" s="113">
        <f>_xlfn.XLOOKUP(G145,'Budget Worksheet'!$B$4:$B$234,'Budget Worksheet'!$U$4:$U$234,0)</f>
        <v>5000</v>
      </c>
      <c r="Q145" s="107">
        <f>MATCH(G145,'Budget Worksheet'!$B$5:$B$234,0)</f>
        <v>76</v>
      </c>
      <c r="R145" s="112">
        <f t="shared" si="9"/>
        <v>106669.18285714285</v>
      </c>
      <c r="S145" s="108"/>
    </row>
    <row r="146" spans="1:19" x14ac:dyDescent="0.25">
      <c r="A146" s="107">
        <v>137</v>
      </c>
      <c r="B146" s="105" t="s">
        <v>102</v>
      </c>
      <c r="C146" s="105" t="str">
        <f t="shared" si="10"/>
        <v>22</v>
      </c>
      <c r="D146" s="105">
        <v>500</v>
      </c>
      <c r="E146" s="106" t="s">
        <v>11</v>
      </c>
      <c r="F146" s="107" t="str">
        <f t="shared" si="14"/>
        <v>500 Repairs and Maintenance</v>
      </c>
      <c r="G146" s="105" t="s">
        <v>433</v>
      </c>
      <c r="H146" s="107" t="s">
        <v>309</v>
      </c>
      <c r="I146" s="112">
        <v>6000</v>
      </c>
      <c r="J146" s="113">
        <f>SUMIFS('Budget Worksheet'!$J$5:$J$234,'Budget Worksheet'!$B$5:$B$234,'Master Budget'!G146)</f>
        <v>20000</v>
      </c>
      <c r="K146" s="113">
        <f>_xlfn.XLOOKUP(G146,'Budget Worksheet'!$B$5:$B$234,'Budget Worksheet'!$G$5:$G$234,0)</f>
        <v>54817.354285714289</v>
      </c>
      <c r="L146" s="113">
        <f>SUMIFS('Budget Worksheet'!$L$5:$L$234,'Budget Worksheet'!$B$5:$B$234,'Master Budget'!G146)</f>
        <v>12000</v>
      </c>
      <c r="M146" s="113">
        <f>_xlfn.XLOOKUP(G146,'Budget Worksheet'!$B$5:$B$234,'Budget Worksheet'!$N$5:$N$234,0)</f>
        <v>62000</v>
      </c>
      <c r="N146" s="113">
        <f>_xlfn.XLOOKUP(G146,'Budget Worksheet'!$B$5:$B$234,'Budget Worksheet'!$P$5:$P$234,0)</f>
        <v>20000</v>
      </c>
      <c r="O146" s="113">
        <f>_xlfn.XLOOKUP(G146,'Budget Worksheet'!$B$4:$B$234,'Budget Worksheet'!$S$4:$S$234,0)</f>
        <v>40000</v>
      </c>
      <c r="P146" s="113">
        <f>_xlfn.XLOOKUP(G146,'Budget Worksheet'!$B$4:$B$234,'Budget Worksheet'!$U$4:$U$234,0)</f>
        <v>35000</v>
      </c>
      <c r="Q146" s="107">
        <f>MATCH(G146,'Budget Worksheet'!$B$5:$B$234,0)</f>
        <v>77</v>
      </c>
      <c r="R146" s="112">
        <f t="shared" si="9"/>
        <v>174817.35428571427</v>
      </c>
      <c r="S146" s="108"/>
    </row>
    <row r="147" spans="1:19" x14ac:dyDescent="0.25">
      <c r="A147" s="107">
        <v>138</v>
      </c>
      <c r="B147" s="105" t="s">
        <v>102</v>
      </c>
      <c r="C147" s="105" t="str">
        <f t="shared" si="10"/>
        <v>22</v>
      </c>
      <c r="D147" s="105">
        <v>500</v>
      </c>
      <c r="E147" s="106" t="s">
        <v>11</v>
      </c>
      <c r="F147" s="107" t="str">
        <f t="shared" si="14"/>
        <v>500 Repairs and Maintenance</v>
      </c>
      <c r="G147" s="105" t="s">
        <v>434</v>
      </c>
      <c r="H147" s="107" t="s">
        <v>311</v>
      </c>
      <c r="I147" s="112">
        <v>12000</v>
      </c>
      <c r="J147" s="113">
        <f>SUMIFS('Budget Worksheet'!$J$5:$J$234,'Budget Worksheet'!$B$5:$B$234,'Master Budget'!G147)</f>
        <v>15000</v>
      </c>
      <c r="K147" s="113">
        <f>_xlfn.XLOOKUP(G147,'Budget Worksheet'!$B$5:$B$234,'Budget Worksheet'!$G$5:$G$234,0)</f>
        <v>54470.434285714291</v>
      </c>
      <c r="L147" s="113">
        <f>SUMIFS('Budget Worksheet'!$L$5:$L$234,'Budget Worksheet'!$B$5:$B$234,'Master Budget'!G147)</f>
        <v>12000</v>
      </c>
      <c r="M147" s="113">
        <f>_xlfn.XLOOKUP(G147,'Budget Worksheet'!$B$5:$B$234,'Budget Worksheet'!$N$5:$N$234,0)</f>
        <v>20000</v>
      </c>
      <c r="N147" s="113">
        <f>_xlfn.XLOOKUP(G147,'Budget Worksheet'!$B$5:$B$234,'Budget Worksheet'!$P$5:$P$234,0)</f>
        <v>12000</v>
      </c>
      <c r="O147" s="113">
        <f>_xlfn.XLOOKUP(G147,'Budget Worksheet'!$B$4:$B$234,'Budget Worksheet'!$S$4:$S$234,0)</f>
        <v>12000</v>
      </c>
      <c r="P147" s="113">
        <f>_xlfn.XLOOKUP(G147,'Budget Worksheet'!$B$4:$B$234,'Budget Worksheet'!$U$4:$U$234,0)</f>
        <v>12000</v>
      </c>
      <c r="Q147" s="107">
        <f>MATCH(G147,'Budget Worksheet'!$B$5:$B$234,0)</f>
        <v>78</v>
      </c>
      <c r="R147" s="112">
        <f t="shared" si="9"/>
        <v>125470.43428571429</v>
      </c>
      <c r="S147" s="108"/>
    </row>
    <row r="148" spans="1:19" x14ac:dyDescent="0.25">
      <c r="A148" s="107">
        <v>139</v>
      </c>
      <c r="B148" s="105" t="s">
        <v>102</v>
      </c>
      <c r="C148" s="105" t="str">
        <f t="shared" si="10"/>
        <v>22</v>
      </c>
      <c r="D148" s="105">
        <v>200</v>
      </c>
      <c r="E148" s="106" t="s">
        <v>10</v>
      </c>
      <c r="F148" s="107" t="str">
        <f t="shared" si="14"/>
        <v>200 General and Administrative</v>
      </c>
      <c r="G148" s="105" t="s">
        <v>435</v>
      </c>
      <c r="H148" s="107" t="s">
        <v>1069</v>
      </c>
      <c r="I148" s="112">
        <v>10000</v>
      </c>
      <c r="J148" s="113">
        <f>SUMIFS('Budget Worksheet'!$J$5:$J$234,'Budget Worksheet'!$B$5:$B$234,'Master Budget'!G148)</f>
        <v>75000</v>
      </c>
      <c r="K148" s="113">
        <f>_xlfn.XLOOKUP(G148,'Budget Worksheet'!$B$5:$B$234,'Budget Worksheet'!$G$5:$G$234,0)</f>
        <v>293061.94285714283</v>
      </c>
      <c r="L148" s="113">
        <f>SUMIFS('Budget Worksheet'!$L$5:$L$234,'Budget Worksheet'!$B$5:$B$234,'Master Budget'!G148)</f>
        <v>35000</v>
      </c>
      <c r="M148" s="113">
        <f>_xlfn.XLOOKUP(G148,'Budget Worksheet'!$B$5:$B$234,'Budget Worksheet'!$N$5:$N$234,0)</f>
        <v>150000</v>
      </c>
      <c r="N148" s="113">
        <f>_xlfn.XLOOKUP(G148,'Budget Worksheet'!$B$5:$B$234,'Budget Worksheet'!$P$5:$P$234,0)</f>
        <v>35000</v>
      </c>
      <c r="O148" s="113">
        <f>_xlfn.XLOOKUP(G148,'Budget Worksheet'!$B$4:$B$234,'Budget Worksheet'!$S$4:$S$234,0)</f>
        <v>160000</v>
      </c>
      <c r="P148" s="113">
        <f>_xlfn.XLOOKUP(G148,'Budget Worksheet'!$B$4:$B$234,'Budget Worksheet'!$U$4:$U$234,0)</f>
        <v>160000</v>
      </c>
      <c r="Q148" s="107">
        <f>MATCH(G148,'Budget Worksheet'!$B$5:$B$234,0)</f>
        <v>79</v>
      </c>
      <c r="R148" s="112">
        <f t="shared" si="9"/>
        <v>598061.94285714277</v>
      </c>
      <c r="S148" s="108"/>
    </row>
    <row r="149" spans="1:19" x14ac:dyDescent="0.25">
      <c r="A149" s="107">
        <v>140</v>
      </c>
      <c r="B149" s="105" t="s">
        <v>102</v>
      </c>
      <c r="C149" s="105" t="str">
        <f t="shared" si="10"/>
        <v>22</v>
      </c>
      <c r="D149" s="105">
        <v>200</v>
      </c>
      <c r="E149" s="106" t="s">
        <v>10</v>
      </c>
      <c r="F149" s="107" t="str">
        <f t="shared" si="14"/>
        <v>200 General and Administrative</v>
      </c>
      <c r="G149" s="105" t="s">
        <v>436</v>
      </c>
      <c r="H149" s="107" t="s">
        <v>331</v>
      </c>
      <c r="I149" s="112">
        <v>4000</v>
      </c>
      <c r="J149" s="113">
        <f>SUMIFS('Budget Worksheet'!$J$5:$J$234,'Budget Worksheet'!$B$5:$B$234,'Master Budget'!G149)</f>
        <v>4000</v>
      </c>
      <c r="K149" s="113">
        <f>_xlfn.XLOOKUP(G149,'Budget Worksheet'!$B$5:$B$234,'Budget Worksheet'!$G$5:$G$234,0)</f>
        <v>2695.3542857142857</v>
      </c>
      <c r="L149" s="113">
        <f>SUMIFS('Budget Worksheet'!$L$5:$L$234,'Budget Worksheet'!$B$5:$B$234,'Master Budget'!G149)</f>
        <v>4000</v>
      </c>
      <c r="M149" s="113">
        <f>_xlfn.XLOOKUP(G149,'Budget Worksheet'!$B$5:$B$234,'Budget Worksheet'!$N$5:$N$234,0)</f>
        <v>4000</v>
      </c>
      <c r="N149" s="113">
        <f>_xlfn.XLOOKUP(G149,'Budget Worksheet'!$B$5:$B$234,'Budget Worksheet'!$P$5:$P$234,0)</f>
        <v>4000</v>
      </c>
      <c r="O149" s="113">
        <f>_xlfn.XLOOKUP(G149,'Budget Worksheet'!$B$4:$B$234,'Budget Worksheet'!$S$4:$S$234,0)</f>
        <v>2000</v>
      </c>
      <c r="P149" s="113">
        <f>_xlfn.XLOOKUP(G149,'Budget Worksheet'!$B$4:$B$234,'Budget Worksheet'!$U$4:$U$234,0)</f>
        <v>4000</v>
      </c>
      <c r="Q149" s="107">
        <f>MATCH(G149,'Budget Worksheet'!$B$5:$B$234,0)</f>
        <v>80</v>
      </c>
      <c r="R149" s="112">
        <f t="shared" si="9"/>
        <v>22695.354285714286</v>
      </c>
      <c r="S149" s="108"/>
    </row>
    <row r="150" spans="1:19" x14ac:dyDescent="0.25">
      <c r="A150" s="107">
        <v>141</v>
      </c>
      <c r="B150" s="105" t="s">
        <v>102</v>
      </c>
      <c r="C150" s="105" t="str">
        <f t="shared" si="10"/>
        <v>22</v>
      </c>
      <c r="D150" s="105">
        <v>200</v>
      </c>
      <c r="E150" s="106" t="s">
        <v>10</v>
      </c>
      <c r="F150" s="107" t="str">
        <f t="shared" si="14"/>
        <v>200 General and Administrative</v>
      </c>
      <c r="G150" s="105" t="s">
        <v>437</v>
      </c>
      <c r="H150" s="107" t="s">
        <v>438</v>
      </c>
      <c r="I150" s="112">
        <v>0</v>
      </c>
      <c r="J150" s="113">
        <f>SUMIFS('Budget Worksheet'!$J$5:$J$234,'Budget Worksheet'!$B$5:$B$234,'Master Budget'!G150)</f>
        <v>0</v>
      </c>
      <c r="K150" s="113">
        <f>_xlfn.XLOOKUP(G150,'Budget Worksheet'!$B$5:$B$234,'Budget Worksheet'!$G$5:$G$234,0)</f>
        <v>0</v>
      </c>
      <c r="L150" s="113">
        <f>SUMIFS('Budget Worksheet'!$L$5:$L$234,'Budget Worksheet'!$B$5:$B$234,'Master Budget'!G150)</f>
        <v>0</v>
      </c>
      <c r="M150" s="113">
        <f>_xlfn.XLOOKUP(G150,'Budget Worksheet'!$B$5:$B$234,'Budget Worksheet'!$N$5:$N$234,0)</f>
        <v>250</v>
      </c>
      <c r="N150" s="113">
        <f>_xlfn.XLOOKUP(G150,'Budget Worksheet'!$B$5:$B$234,'Budget Worksheet'!$P$5:$P$234,0)</f>
        <v>0</v>
      </c>
      <c r="O150" s="113">
        <f>_xlfn.XLOOKUP(G150,'Budget Worksheet'!$B$4:$B$234,'Budget Worksheet'!$S$4:$S$234,0)</f>
        <v>0</v>
      </c>
      <c r="P150" s="113">
        <f>_xlfn.XLOOKUP(G150,'Budget Worksheet'!$B$4:$B$234,'Budget Worksheet'!$U$4:$U$234,0)</f>
        <v>0</v>
      </c>
      <c r="Q150" s="107">
        <f>MATCH(G150,'Budget Worksheet'!$B$5:$B$234,0)</f>
        <v>81</v>
      </c>
      <c r="R150" s="112">
        <f t="shared" si="9"/>
        <v>250</v>
      </c>
      <c r="S150" s="108"/>
    </row>
    <row r="151" spans="1:19" x14ac:dyDescent="0.25">
      <c r="A151" s="107">
        <v>142</v>
      </c>
      <c r="B151" s="105" t="s">
        <v>102</v>
      </c>
      <c r="C151" s="105" t="str">
        <f t="shared" si="10"/>
        <v>22</v>
      </c>
      <c r="D151" s="105">
        <v>700</v>
      </c>
      <c r="E151" s="106" t="s">
        <v>12</v>
      </c>
      <c r="F151" s="107" t="str">
        <f t="shared" si="14"/>
        <v>700 Depreciation and Amortization</v>
      </c>
      <c r="G151" s="105" t="s">
        <v>439</v>
      </c>
      <c r="H151" s="107" t="s">
        <v>43</v>
      </c>
      <c r="I151" s="112">
        <v>10932</v>
      </c>
      <c r="J151" s="113">
        <f>SUMIFS('Budget Worksheet'!$J$5:$J$234,'Budget Worksheet'!$B$5:$B$234,'Master Budget'!G151)</f>
        <v>20000</v>
      </c>
      <c r="K151" s="113">
        <f>_xlfn.XLOOKUP(G151,'Budget Worksheet'!$B$5:$B$234,'Budget Worksheet'!$G$5:$G$234,0)</f>
        <v>36610.371428571423</v>
      </c>
      <c r="L151" s="113">
        <f>SUMIFS('Budget Worksheet'!$L$5:$L$234,'Budget Worksheet'!$B$5:$B$234,'Master Budget'!G151)</f>
        <v>0</v>
      </c>
      <c r="M151" s="113">
        <f>_xlfn.XLOOKUP(G151,'Budget Worksheet'!$B$5:$B$234,'Budget Worksheet'!$N$5:$N$234,0)</f>
        <v>20000</v>
      </c>
      <c r="N151" s="113">
        <f>_xlfn.XLOOKUP(G151,'Budget Worksheet'!$B$5:$B$234,'Budget Worksheet'!$P$5:$P$234,0)</f>
        <v>0</v>
      </c>
      <c r="O151" s="113">
        <f>_xlfn.XLOOKUP(G151,'Budget Worksheet'!$B$4:$B$234,'Budget Worksheet'!$S$4:$S$234,0)</f>
        <v>0</v>
      </c>
      <c r="P151" s="113">
        <f>_xlfn.XLOOKUP(G151,'Budget Worksheet'!$B$4:$B$234,'Budget Worksheet'!$U$4:$U$234,0)</f>
        <v>0</v>
      </c>
      <c r="Q151" s="107">
        <f>MATCH(G151,'Budget Worksheet'!$B$5:$B$234,0)</f>
        <v>82</v>
      </c>
      <c r="R151" s="112">
        <f t="shared" si="9"/>
        <v>87542.371428571423</v>
      </c>
      <c r="S151" s="108"/>
    </row>
    <row r="152" spans="1:19" x14ac:dyDescent="0.25">
      <c r="A152" s="107">
        <v>143</v>
      </c>
      <c r="B152" s="105" t="s">
        <v>102</v>
      </c>
      <c r="C152" s="105" t="str">
        <f t="shared" si="10"/>
        <v>22</v>
      </c>
      <c r="D152" s="105">
        <v>710</v>
      </c>
      <c r="E152" s="106" t="s">
        <v>882</v>
      </c>
      <c r="F152" s="107" t="str">
        <f t="shared" si="14"/>
        <v>710 Capital Outlay</v>
      </c>
      <c r="G152" s="105" t="s">
        <v>440</v>
      </c>
      <c r="H152" s="107" t="s">
        <v>344</v>
      </c>
      <c r="I152" s="112">
        <v>0</v>
      </c>
      <c r="J152" s="113">
        <f>SUMIFS('Budget Worksheet'!$J$5:$J$234,'Budget Worksheet'!$B$5:$B$234,'Master Budget'!G152)</f>
        <v>0</v>
      </c>
      <c r="K152" s="113">
        <f>_xlfn.XLOOKUP(G152,'Budget Worksheet'!$B$5:$B$234,'Budget Worksheet'!$G$5:$G$234,0)</f>
        <v>584691.90857142862</v>
      </c>
      <c r="L152" s="113">
        <f>SUMIFS('Budget Worksheet'!$L$5:$L$234,'Budget Worksheet'!$B$5:$B$234,'Master Budget'!G152)</f>
        <v>0</v>
      </c>
      <c r="M152" s="113">
        <f>_xlfn.XLOOKUP(G152,'Budget Worksheet'!$B$5:$B$234,'Budget Worksheet'!$N$5:$N$234,0)</f>
        <v>0</v>
      </c>
      <c r="N152" s="113">
        <f>_xlfn.XLOOKUP(G152,'Budget Worksheet'!$B$5:$B$234,'Budget Worksheet'!$P$5:$P$234,0)</f>
        <v>515000</v>
      </c>
      <c r="O152" s="113">
        <f>_xlfn.XLOOKUP(G152,'Budget Worksheet'!$B$4:$B$234,'Budget Worksheet'!$S$4:$S$234,0)</f>
        <v>515000</v>
      </c>
      <c r="P152" s="113">
        <f>_xlfn.XLOOKUP(G152,'Budget Worksheet'!$B$4:$B$234,'Budget Worksheet'!$U$4:$U$234,0)</f>
        <v>0</v>
      </c>
      <c r="Q152" s="107">
        <f>MATCH(G152,'Budget Worksheet'!$B$5:$B$234,0)</f>
        <v>83</v>
      </c>
      <c r="R152" s="112">
        <f t="shared" si="9"/>
        <v>1099691.9085714286</v>
      </c>
      <c r="S152" s="108"/>
    </row>
    <row r="153" spans="1:19" x14ac:dyDescent="0.25">
      <c r="A153" s="107">
        <v>144</v>
      </c>
      <c r="B153" s="105" t="s">
        <v>102</v>
      </c>
      <c r="C153" s="105" t="str">
        <f t="shared" si="10"/>
        <v>22</v>
      </c>
      <c r="D153" s="105">
        <v>200</v>
      </c>
      <c r="E153" s="106" t="s">
        <v>10</v>
      </c>
      <c r="F153" s="107" t="str">
        <f t="shared" si="14"/>
        <v>200 General and Administrative</v>
      </c>
      <c r="G153" s="105" t="s">
        <v>841</v>
      </c>
      <c r="H153" s="107" t="s">
        <v>1070</v>
      </c>
      <c r="I153" s="174">
        <v>15000</v>
      </c>
      <c r="J153" s="175">
        <f>SUMIFS('Budget Worksheet'!$J$5:$J$234,'Budget Worksheet'!$B$5:$B$234,'Master Budget'!G153)</f>
        <v>0</v>
      </c>
      <c r="K153" s="113">
        <f>_xlfn.XLOOKUP(G153,'Budget Worksheet'!$B$5:$B$234,'Budget Worksheet'!$G$5:$G$234,0)</f>
        <v>25037.468571428573</v>
      </c>
      <c r="L153" s="175">
        <f>SUMIFS('Budget Worksheet'!$L$5:$L$234,'Budget Worksheet'!$B$5:$B$234,'Master Budget'!G153)</f>
        <v>0</v>
      </c>
      <c r="M153" s="175">
        <f>_xlfn.XLOOKUP(G153,'Budget Worksheet'!$B$5:$B$234,'Budget Worksheet'!$N$5:$N$234,0)</f>
        <v>0</v>
      </c>
      <c r="N153" s="175">
        <f>_xlfn.XLOOKUP(G153,'Budget Worksheet'!$B$5:$B$234,'Budget Worksheet'!$P$5:$P$234,0)</f>
        <v>0</v>
      </c>
      <c r="O153" s="113">
        <f>_xlfn.XLOOKUP(G153,'Budget Worksheet'!$B$4:$B$234,'Budget Worksheet'!$S$4:$S$234,0)</f>
        <v>0</v>
      </c>
      <c r="P153" s="113">
        <f>_xlfn.XLOOKUP(G153,'Budget Worksheet'!$B$4:$B$234,'Budget Worksheet'!$U$4:$U$234,0)</f>
        <v>0</v>
      </c>
      <c r="Q153" s="107">
        <f>MATCH(G153,'Budget Worksheet'!$B$5:$B$234,0)</f>
        <v>84</v>
      </c>
      <c r="R153" s="174">
        <f t="shared" si="9"/>
        <v>40037.468571428573</v>
      </c>
      <c r="S153" s="108"/>
    </row>
    <row r="154" spans="1:19" ht="14.25" thickBot="1" x14ac:dyDescent="0.3">
      <c r="A154" s="121">
        <v>145</v>
      </c>
      <c r="B154" s="122" t="s">
        <v>102</v>
      </c>
      <c r="C154" s="122" t="str">
        <f t="shared" si="10"/>
        <v>22</v>
      </c>
      <c r="D154" s="122">
        <v>720</v>
      </c>
      <c r="E154" s="123" t="s">
        <v>883</v>
      </c>
      <c r="F154" s="121" t="str">
        <f t="shared" si="14"/>
        <v>720 Gain/Loss on disposal</v>
      </c>
      <c r="G154" s="122" t="s">
        <v>442</v>
      </c>
      <c r="H154" s="121" t="s">
        <v>164</v>
      </c>
      <c r="I154" s="124">
        <v>0</v>
      </c>
      <c r="J154" s="125">
        <f>SUMIFS('Budget Worksheet'!$J$5:$J$234,'Budget Worksheet'!$B$5:$B$234,'Master Budget'!G154)</f>
        <v>0</v>
      </c>
      <c r="K154" s="125"/>
      <c r="L154" s="125">
        <f>SUMIFS('Budget Worksheet'!$L$5:$L$234,'Budget Worksheet'!$B$5:$B$234,'Master Budget'!G154)</f>
        <v>0</v>
      </c>
      <c r="M154" s="125">
        <f>_xlfn.XLOOKUP(G154,'Budget Worksheet'!$B$5:$B$234,'Budget Worksheet'!$N$5:$N$234,0)</f>
        <v>0</v>
      </c>
      <c r="N154" s="125">
        <f>_xlfn.XLOOKUP(G154,'Budget Worksheet'!$B$5:$B$234,'Budget Worksheet'!$P$5:$P$234,0)</f>
        <v>0</v>
      </c>
      <c r="O154" s="125">
        <f>_xlfn.XLOOKUP(G154,'Budget Worksheet'!$B$4:$B$234,'Budget Worksheet'!$S$4:$S$234,0)</f>
        <v>0</v>
      </c>
      <c r="P154" s="125">
        <f>_xlfn.XLOOKUP(G154,'Budget Worksheet'!$B$4:$B$234,'Budget Worksheet'!$U$4:$U$234,0)</f>
        <v>0</v>
      </c>
      <c r="Q154" s="121">
        <f>MATCH(G154,'Budget Worksheet'!$B$5:$B$234,0)</f>
        <v>85</v>
      </c>
      <c r="R154" s="124">
        <f t="shared" si="9"/>
        <v>0</v>
      </c>
      <c r="S154" s="108"/>
    </row>
    <row r="155" spans="1:19" x14ac:dyDescent="0.25">
      <c r="A155" s="107">
        <v>146</v>
      </c>
      <c r="B155" s="105" t="s">
        <v>50</v>
      </c>
      <c r="C155" s="105" t="str">
        <f t="shared" si="10"/>
        <v>51</v>
      </c>
      <c r="D155" s="105">
        <v>10000</v>
      </c>
      <c r="E155" s="106" t="s">
        <v>1029</v>
      </c>
      <c r="F155" s="107" t="str">
        <f t="shared" si="14"/>
        <v>10000 Cash and Cash Equivalents</v>
      </c>
      <c r="G155" s="105" t="s">
        <v>510</v>
      </c>
      <c r="H155" s="107" t="s">
        <v>49</v>
      </c>
      <c r="I155" s="112">
        <v>0</v>
      </c>
      <c r="J155" s="113">
        <f>SUMIFS('Budget Worksheet'!$J$5:$J$234,'Budget Worksheet'!$B$5:$B$234,'Master Budget'!G155)</f>
        <v>0</v>
      </c>
      <c r="K155" s="113"/>
      <c r="L155" s="113">
        <f>SUMIFS('Budget Worksheet'!$L$5:$L$234,'Budget Worksheet'!$B$5:$B$234,'Master Budget'!G155)</f>
        <v>0</v>
      </c>
      <c r="M155" s="113">
        <f>_xlfn.XLOOKUP(G155,'Budget Worksheet'!$B$5:$B$234,'Budget Worksheet'!$N$5:$N$234,0)</f>
        <v>0</v>
      </c>
      <c r="N155" s="113">
        <f>_xlfn.XLOOKUP(G155,'Budget Worksheet'!$B$5:$B$234,'Budget Worksheet'!$P$5:$P$234,0)</f>
        <v>0</v>
      </c>
      <c r="O155" s="113">
        <f>_xlfn.XLOOKUP(G155,'Budget Worksheet'!$B$4:$B$234,'Budget Worksheet'!$S$4:$S$234,0)</f>
        <v>0</v>
      </c>
      <c r="P155" s="113">
        <f>_xlfn.XLOOKUP(G155,'Budget Worksheet'!$B$4:$B$234,'Budget Worksheet'!$U$4:$U$234,0)</f>
        <v>0</v>
      </c>
      <c r="Q155" s="107" t="e">
        <f>MATCH(G155,'Budget Worksheet'!$B$5:$B$234,0)</f>
        <v>#N/A</v>
      </c>
      <c r="R155" s="112">
        <f t="shared" si="9"/>
        <v>0</v>
      </c>
      <c r="S155" s="108"/>
    </row>
    <row r="156" spans="1:19" x14ac:dyDescent="0.25">
      <c r="A156" s="107">
        <v>147</v>
      </c>
      <c r="B156" s="105" t="s">
        <v>50</v>
      </c>
      <c r="C156" s="105" t="str">
        <f t="shared" si="10"/>
        <v>51</v>
      </c>
      <c r="D156" s="105">
        <v>10600</v>
      </c>
      <c r="E156" s="106" t="s">
        <v>1030</v>
      </c>
      <c r="F156" s="107" t="str">
        <f t="shared" si="14"/>
        <v>10600 Restricted cash and investments</v>
      </c>
      <c r="G156" s="105" t="s">
        <v>1071</v>
      </c>
      <c r="H156" s="107" t="s">
        <v>1031</v>
      </c>
      <c r="I156" s="112">
        <v>0</v>
      </c>
      <c r="J156" s="113">
        <f>SUMIFS('Budget Worksheet'!$J$5:$J$234,'Budget Worksheet'!$B$5:$B$234,'Master Budget'!G156)</f>
        <v>0</v>
      </c>
      <c r="K156" s="113"/>
      <c r="L156" s="113">
        <f>SUMIFS('Budget Worksheet'!$L$5:$L$234,'Budget Worksheet'!$B$5:$B$234,'Master Budget'!G156)</f>
        <v>0</v>
      </c>
      <c r="M156" s="113">
        <f>_xlfn.XLOOKUP(G156,'Budget Worksheet'!$B$5:$B$234,'Budget Worksheet'!$N$5:$N$234,0)</f>
        <v>0</v>
      </c>
      <c r="N156" s="113">
        <f>_xlfn.XLOOKUP(G156,'Budget Worksheet'!$B$5:$B$234,'Budget Worksheet'!$P$5:$P$234,0)</f>
        <v>0</v>
      </c>
      <c r="O156" s="113">
        <f>_xlfn.XLOOKUP(G156,'Budget Worksheet'!$B$4:$B$234,'Budget Worksheet'!$S$4:$S$234,0)</f>
        <v>0</v>
      </c>
      <c r="P156" s="113">
        <f>_xlfn.XLOOKUP(G156,'Budget Worksheet'!$B$4:$B$234,'Budget Worksheet'!$U$4:$U$234,0)</f>
        <v>0</v>
      </c>
      <c r="Q156" s="107" t="e">
        <f>MATCH(G156,'Budget Worksheet'!$B$5:$B$234,0)</f>
        <v>#N/A</v>
      </c>
      <c r="R156" s="112">
        <f t="shared" si="9"/>
        <v>0</v>
      </c>
      <c r="S156" s="108"/>
    </row>
    <row r="157" spans="1:19" x14ac:dyDescent="0.25">
      <c r="A157" s="107">
        <v>148</v>
      </c>
      <c r="B157" s="105" t="s">
        <v>50</v>
      </c>
      <c r="C157" s="105" t="str">
        <f t="shared" si="10"/>
        <v>51</v>
      </c>
      <c r="D157" s="105">
        <v>10000</v>
      </c>
      <c r="E157" s="106" t="s">
        <v>1029</v>
      </c>
      <c r="F157" s="107" t="str">
        <f t="shared" si="14"/>
        <v>10000 Cash and Cash Equivalents</v>
      </c>
      <c r="G157" s="105" t="s">
        <v>511</v>
      </c>
      <c r="H157" s="107" t="s">
        <v>512</v>
      </c>
      <c r="I157" s="112">
        <v>0</v>
      </c>
      <c r="J157" s="113">
        <f>SUMIFS('Budget Worksheet'!$J$5:$J$234,'Budget Worksheet'!$B$5:$B$234,'Master Budget'!G157)</f>
        <v>0</v>
      </c>
      <c r="K157" s="113"/>
      <c r="L157" s="113">
        <f>SUMIFS('Budget Worksheet'!$L$5:$L$234,'Budget Worksheet'!$B$5:$B$234,'Master Budget'!G157)</f>
        <v>0</v>
      </c>
      <c r="M157" s="113">
        <f>_xlfn.XLOOKUP(G157,'Budget Worksheet'!$B$5:$B$234,'Budget Worksheet'!$N$5:$N$234,0)</f>
        <v>0</v>
      </c>
      <c r="N157" s="113">
        <f>_xlfn.XLOOKUP(G157,'Budget Worksheet'!$B$5:$B$234,'Budget Worksheet'!$P$5:$P$234,0)</f>
        <v>0</v>
      </c>
      <c r="O157" s="113">
        <f>_xlfn.XLOOKUP(G157,'Budget Worksheet'!$B$4:$B$234,'Budget Worksheet'!$S$4:$S$234,0)</f>
        <v>0</v>
      </c>
      <c r="P157" s="113">
        <f>_xlfn.XLOOKUP(G157,'Budget Worksheet'!$B$4:$B$234,'Budget Worksheet'!$U$4:$U$234,0)</f>
        <v>0</v>
      </c>
      <c r="Q157" s="107" t="e">
        <f>MATCH(G157,'Budget Worksheet'!$B$5:$B$234,0)</f>
        <v>#N/A</v>
      </c>
      <c r="R157" s="112">
        <f t="shared" si="9"/>
        <v>0</v>
      </c>
      <c r="S157" s="108"/>
    </row>
    <row r="158" spans="1:19" x14ac:dyDescent="0.25">
      <c r="A158" s="107">
        <v>149</v>
      </c>
      <c r="B158" s="105" t="s">
        <v>50</v>
      </c>
      <c r="C158" s="105" t="str">
        <f t="shared" si="10"/>
        <v>51</v>
      </c>
      <c r="D158" s="105">
        <v>10600</v>
      </c>
      <c r="E158" s="106" t="s">
        <v>1030</v>
      </c>
      <c r="F158" s="107" t="str">
        <f t="shared" si="14"/>
        <v>10600 Restricted cash and investments</v>
      </c>
      <c r="G158" s="105" t="s">
        <v>513</v>
      </c>
      <c r="H158" s="107" t="s">
        <v>1072</v>
      </c>
      <c r="I158" s="112">
        <v>0</v>
      </c>
      <c r="J158" s="113">
        <f>SUMIFS('Budget Worksheet'!$J$5:$J$234,'Budget Worksheet'!$B$5:$B$234,'Master Budget'!G158)</f>
        <v>0</v>
      </c>
      <c r="K158" s="113"/>
      <c r="L158" s="113">
        <f>SUMIFS('Budget Worksheet'!$L$5:$L$234,'Budget Worksheet'!$B$5:$B$234,'Master Budget'!G158)</f>
        <v>0</v>
      </c>
      <c r="M158" s="113">
        <f>_xlfn.XLOOKUP(G158,'Budget Worksheet'!$B$5:$B$234,'Budget Worksheet'!$N$5:$N$234,0)</f>
        <v>0</v>
      </c>
      <c r="N158" s="113">
        <f>_xlfn.XLOOKUP(G158,'Budget Worksheet'!$B$5:$B$234,'Budget Worksheet'!$P$5:$P$234,0)</f>
        <v>0</v>
      </c>
      <c r="O158" s="113">
        <f>_xlfn.XLOOKUP(G158,'Budget Worksheet'!$B$4:$B$234,'Budget Worksheet'!$S$4:$S$234,0)</f>
        <v>0</v>
      </c>
      <c r="P158" s="113">
        <f>_xlfn.XLOOKUP(G158,'Budget Worksheet'!$B$4:$B$234,'Budget Worksheet'!$U$4:$U$234,0)</f>
        <v>0</v>
      </c>
      <c r="Q158" s="107" t="e">
        <f>MATCH(G158,'Budget Worksheet'!$B$5:$B$234,0)</f>
        <v>#N/A</v>
      </c>
      <c r="R158" s="112">
        <f t="shared" si="9"/>
        <v>0</v>
      </c>
      <c r="S158" s="108"/>
    </row>
    <row r="159" spans="1:19" x14ac:dyDescent="0.25">
      <c r="A159" s="107">
        <v>150</v>
      </c>
      <c r="B159" s="105" t="s">
        <v>50</v>
      </c>
      <c r="C159" s="105" t="str">
        <f t="shared" si="10"/>
        <v>51</v>
      </c>
      <c r="D159" s="105">
        <v>10600</v>
      </c>
      <c r="E159" s="106" t="s">
        <v>1030</v>
      </c>
      <c r="F159" s="107" t="str">
        <f t="shared" si="14"/>
        <v>10600 Restricted cash and investments</v>
      </c>
      <c r="G159" s="105" t="s">
        <v>515</v>
      </c>
      <c r="H159" s="107" t="s">
        <v>1073</v>
      </c>
      <c r="I159" s="112">
        <v>0</v>
      </c>
      <c r="J159" s="113">
        <f>SUMIFS('Budget Worksheet'!$J$5:$J$234,'Budget Worksheet'!$B$5:$B$234,'Master Budget'!G159)</f>
        <v>0</v>
      </c>
      <c r="K159" s="113"/>
      <c r="L159" s="113">
        <f>SUMIFS('Budget Worksheet'!$L$5:$L$234,'Budget Worksheet'!$B$5:$B$234,'Master Budget'!G159)</f>
        <v>0</v>
      </c>
      <c r="M159" s="113">
        <f>_xlfn.XLOOKUP(G159,'Budget Worksheet'!$B$5:$B$234,'Budget Worksheet'!$N$5:$N$234,0)</f>
        <v>0</v>
      </c>
      <c r="N159" s="113">
        <f>_xlfn.XLOOKUP(G159,'Budget Worksheet'!$B$5:$B$234,'Budget Worksheet'!$P$5:$P$234,0)</f>
        <v>0</v>
      </c>
      <c r="O159" s="113">
        <f>_xlfn.XLOOKUP(G159,'Budget Worksheet'!$B$4:$B$234,'Budget Worksheet'!$S$4:$S$234,0)</f>
        <v>0</v>
      </c>
      <c r="P159" s="113">
        <f>_xlfn.XLOOKUP(G159,'Budget Worksheet'!$B$4:$B$234,'Budget Worksheet'!$U$4:$U$234,0)</f>
        <v>0</v>
      </c>
      <c r="Q159" s="107" t="e">
        <f>MATCH(G159,'Budget Worksheet'!$B$5:$B$234,0)</f>
        <v>#N/A</v>
      </c>
      <c r="R159" s="112">
        <f t="shared" si="9"/>
        <v>0</v>
      </c>
      <c r="S159" s="108"/>
    </row>
    <row r="160" spans="1:19" x14ac:dyDescent="0.25">
      <c r="A160" s="107">
        <v>151</v>
      </c>
      <c r="B160" s="105" t="s">
        <v>50</v>
      </c>
      <c r="C160" s="105" t="str">
        <f t="shared" si="10"/>
        <v>51</v>
      </c>
      <c r="D160" s="105">
        <v>16200</v>
      </c>
      <c r="E160" s="106" t="s">
        <v>1074</v>
      </c>
      <c r="F160" s="107" t="str">
        <f t="shared" si="14"/>
        <v>16200 Noncurrent restricted cash and investments</v>
      </c>
      <c r="G160" s="105" t="s">
        <v>517</v>
      </c>
      <c r="H160" s="107" t="s">
        <v>1075</v>
      </c>
      <c r="I160" s="112">
        <v>0</v>
      </c>
      <c r="J160" s="113">
        <f>SUMIFS('Budget Worksheet'!$J$5:$J$234,'Budget Worksheet'!$B$5:$B$234,'Master Budget'!G160)</f>
        <v>0</v>
      </c>
      <c r="K160" s="113"/>
      <c r="L160" s="113">
        <f>SUMIFS('Budget Worksheet'!$L$5:$L$234,'Budget Worksheet'!$B$5:$B$234,'Master Budget'!G160)</f>
        <v>0</v>
      </c>
      <c r="M160" s="113">
        <f>_xlfn.XLOOKUP(G160,'Budget Worksheet'!$B$5:$B$234,'Budget Worksheet'!$N$5:$N$234,0)</f>
        <v>0</v>
      </c>
      <c r="N160" s="113">
        <f>_xlfn.XLOOKUP(G160,'Budget Worksheet'!$B$5:$B$234,'Budget Worksheet'!$P$5:$P$234,0)</f>
        <v>0</v>
      </c>
      <c r="O160" s="113">
        <f>_xlfn.XLOOKUP(G160,'Budget Worksheet'!$B$4:$B$234,'Budget Worksheet'!$S$4:$S$234,0)</f>
        <v>0</v>
      </c>
      <c r="P160" s="113">
        <f>_xlfn.XLOOKUP(G160,'Budget Worksheet'!$B$4:$B$234,'Budget Worksheet'!$U$4:$U$234,0)</f>
        <v>0</v>
      </c>
      <c r="Q160" s="107" t="e">
        <f>MATCH(G160,'Budget Worksheet'!$B$5:$B$234,0)</f>
        <v>#N/A</v>
      </c>
      <c r="R160" s="112">
        <f t="shared" si="9"/>
        <v>0</v>
      </c>
      <c r="S160" s="108"/>
    </row>
    <row r="161" spans="1:19" x14ac:dyDescent="0.25">
      <c r="A161" s="107">
        <v>152</v>
      </c>
      <c r="B161" s="105" t="s">
        <v>50</v>
      </c>
      <c r="C161" s="105" t="str">
        <f t="shared" si="10"/>
        <v>51</v>
      </c>
      <c r="D161" s="105">
        <v>10600</v>
      </c>
      <c r="E161" s="106" t="s">
        <v>1030</v>
      </c>
      <c r="F161" s="107" t="str">
        <f t="shared" si="14"/>
        <v>10600 Restricted cash and investments</v>
      </c>
      <c r="G161" s="105" t="s">
        <v>519</v>
      </c>
      <c r="H161" s="107" t="s">
        <v>520</v>
      </c>
      <c r="I161" s="112">
        <v>0</v>
      </c>
      <c r="J161" s="113">
        <f>SUMIFS('Budget Worksheet'!$J$5:$J$234,'Budget Worksheet'!$B$5:$B$234,'Master Budget'!G161)</f>
        <v>0</v>
      </c>
      <c r="K161" s="113"/>
      <c r="L161" s="113">
        <f>SUMIFS('Budget Worksheet'!$L$5:$L$234,'Budget Worksheet'!$B$5:$B$234,'Master Budget'!G161)</f>
        <v>0</v>
      </c>
      <c r="M161" s="113">
        <f>_xlfn.XLOOKUP(G161,'Budget Worksheet'!$B$5:$B$234,'Budget Worksheet'!$N$5:$N$234,0)</f>
        <v>0</v>
      </c>
      <c r="N161" s="113">
        <f>_xlfn.XLOOKUP(G161,'Budget Worksheet'!$B$5:$B$234,'Budget Worksheet'!$P$5:$P$234,0)</f>
        <v>0</v>
      </c>
      <c r="O161" s="113">
        <f>_xlfn.XLOOKUP(G161,'Budget Worksheet'!$B$4:$B$234,'Budget Worksheet'!$S$4:$S$234,0)</f>
        <v>0</v>
      </c>
      <c r="P161" s="113">
        <f>_xlfn.XLOOKUP(G161,'Budget Worksheet'!$B$4:$B$234,'Budget Worksheet'!$U$4:$U$234,0)</f>
        <v>0</v>
      </c>
      <c r="Q161" s="107" t="e">
        <f>MATCH(G161,'Budget Worksheet'!$B$5:$B$234,0)</f>
        <v>#N/A</v>
      </c>
      <c r="R161" s="112">
        <f t="shared" si="9"/>
        <v>0</v>
      </c>
      <c r="S161" s="108"/>
    </row>
    <row r="162" spans="1:19" x14ac:dyDescent="0.25">
      <c r="A162" s="107">
        <v>153</v>
      </c>
      <c r="B162" s="105" t="s">
        <v>50</v>
      </c>
      <c r="C162" s="105" t="str">
        <f t="shared" si="10"/>
        <v>51</v>
      </c>
      <c r="D162" s="105">
        <v>10600</v>
      </c>
      <c r="E162" s="106" t="s">
        <v>1030</v>
      </c>
      <c r="F162" s="107" t="str">
        <f t="shared" si="14"/>
        <v>10600 Restricted cash and investments</v>
      </c>
      <c r="G162" s="105" t="s">
        <v>521</v>
      </c>
      <c r="H162" s="107" t="s">
        <v>522</v>
      </c>
      <c r="I162" s="112"/>
      <c r="J162" s="113">
        <f>SUMIFS('Budget Worksheet'!$J$5:$J$234,'Budget Worksheet'!$B$5:$B$234,'Master Budget'!G162)</f>
        <v>0</v>
      </c>
      <c r="K162" s="113"/>
      <c r="L162" s="113">
        <f>SUMIFS('Budget Worksheet'!$L$5:$L$234,'Budget Worksheet'!$B$5:$B$234,'Master Budget'!G162)</f>
        <v>0</v>
      </c>
      <c r="M162" s="113">
        <f>_xlfn.XLOOKUP(G162,'Budget Worksheet'!$B$5:$B$234,'Budget Worksheet'!$N$5:$N$234,0)</f>
        <v>0</v>
      </c>
      <c r="N162" s="113">
        <f>_xlfn.XLOOKUP(G162,'Budget Worksheet'!$B$5:$B$234,'Budget Worksheet'!$P$5:$P$234,0)</f>
        <v>0</v>
      </c>
      <c r="O162" s="113">
        <f>_xlfn.XLOOKUP(G162,'Budget Worksheet'!$B$4:$B$234,'Budget Worksheet'!$S$4:$S$234,0)</f>
        <v>0</v>
      </c>
      <c r="P162" s="113">
        <f>_xlfn.XLOOKUP(G162,'Budget Worksheet'!$B$4:$B$234,'Budget Worksheet'!$U$4:$U$234,0)</f>
        <v>0</v>
      </c>
      <c r="Q162" s="107" t="e">
        <f>MATCH(G162,'Budget Worksheet'!$B$5:$B$234,0)</f>
        <v>#N/A</v>
      </c>
      <c r="R162" s="112">
        <f t="shared" si="9"/>
        <v>0</v>
      </c>
      <c r="S162" s="108"/>
    </row>
    <row r="163" spans="1:19" x14ac:dyDescent="0.25">
      <c r="A163" s="107">
        <v>154</v>
      </c>
      <c r="B163" s="105" t="s">
        <v>50</v>
      </c>
      <c r="C163" s="105" t="str">
        <f t="shared" si="10"/>
        <v>51</v>
      </c>
      <c r="D163" s="105">
        <v>11500</v>
      </c>
      <c r="E163" s="106" t="s">
        <v>54</v>
      </c>
      <c r="F163" s="107" t="str">
        <f t="shared" si="14"/>
        <v>11500 Accounts Receivable</v>
      </c>
      <c r="G163" s="105" t="s">
        <v>523</v>
      </c>
      <c r="H163" s="107" t="s">
        <v>54</v>
      </c>
      <c r="I163" s="112">
        <v>0</v>
      </c>
      <c r="J163" s="113">
        <f>SUMIFS('Budget Worksheet'!$J$5:$J$234,'Budget Worksheet'!$B$5:$B$234,'Master Budget'!G163)</f>
        <v>0</v>
      </c>
      <c r="K163" s="113"/>
      <c r="L163" s="113">
        <f>SUMIFS('Budget Worksheet'!$L$5:$L$234,'Budget Worksheet'!$B$5:$B$234,'Master Budget'!G163)</f>
        <v>0</v>
      </c>
      <c r="M163" s="113">
        <f>_xlfn.XLOOKUP(G163,'Budget Worksheet'!$B$5:$B$234,'Budget Worksheet'!$N$5:$N$234,0)</f>
        <v>0</v>
      </c>
      <c r="N163" s="113">
        <f>_xlfn.XLOOKUP(G163,'Budget Worksheet'!$B$5:$B$234,'Budget Worksheet'!$P$5:$P$234,0)</f>
        <v>0</v>
      </c>
      <c r="O163" s="113">
        <f>_xlfn.XLOOKUP(G163,'Budget Worksheet'!$B$4:$B$234,'Budget Worksheet'!$S$4:$S$234,0)</f>
        <v>0</v>
      </c>
      <c r="P163" s="113">
        <f>_xlfn.XLOOKUP(G163,'Budget Worksheet'!$B$4:$B$234,'Budget Worksheet'!$U$4:$U$234,0)</f>
        <v>0</v>
      </c>
      <c r="Q163" s="107" t="e">
        <f>MATCH(G163,'Budget Worksheet'!$B$5:$B$234,0)</f>
        <v>#N/A</v>
      </c>
      <c r="R163" s="112">
        <f t="shared" si="9"/>
        <v>0</v>
      </c>
      <c r="S163" s="108"/>
    </row>
    <row r="164" spans="1:19" x14ac:dyDescent="0.25">
      <c r="A164" s="107">
        <v>155</v>
      </c>
      <c r="B164" s="105" t="s">
        <v>50</v>
      </c>
      <c r="C164" s="105" t="str">
        <f t="shared" si="10"/>
        <v>51</v>
      </c>
      <c r="D164" s="105">
        <v>11510</v>
      </c>
      <c r="E164" s="106" t="s">
        <v>177</v>
      </c>
      <c r="F164" s="107" t="str">
        <f t="shared" si="14"/>
        <v>11510 Property Tax Receivable</v>
      </c>
      <c r="G164" s="105" t="s">
        <v>524</v>
      </c>
      <c r="H164" s="107" t="s">
        <v>177</v>
      </c>
      <c r="I164" s="112">
        <v>0</v>
      </c>
      <c r="J164" s="113">
        <f>SUMIFS('Budget Worksheet'!$J$5:$J$234,'Budget Worksheet'!$B$5:$B$234,'Master Budget'!G164)</f>
        <v>0</v>
      </c>
      <c r="K164" s="113"/>
      <c r="L164" s="113">
        <f>SUMIFS('Budget Worksheet'!$L$5:$L$234,'Budget Worksheet'!$B$5:$B$234,'Master Budget'!G164)</f>
        <v>0</v>
      </c>
      <c r="M164" s="113">
        <f>_xlfn.XLOOKUP(G164,'Budget Worksheet'!$B$5:$B$234,'Budget Worksheet'!$N$5:$N$234,0)</f>
        <v>0</v>
      </c>
      <c r="N164" s="113">
        <f>_xlfn.XLOOKUP(G164,'Budget Worksheet'!$B$5:$B$234,'Budget Worksheet'!$P$5:$P$234,0)</f>
        <v>0</v>
      </c>
      <c r="O164" s="113">
        <f>_xlfn.XLOOKUP(G164,'Budget Worksheet'!$B$4:$B$234,'Budget Worksheet'!$S$4:$S$234,0)</f>
        <v>0</v>
      </c>
      <c r="P164" s="113">
        <f>_xlfn.XLOOKUP(G164,'Budget Worksheet'!$B$4:$B$234,'Budget Worksheet'!$U$4:$U$234,0)</f>
        <v>0</v>
      </c>
      <c r="Q164" s="107" t="e">
        <f>MATCH(G164,'Budget Worksheet'!$B$5:$B$234,0)</f>
        <v>#N/A</v>
      </c>
      <c r="R164" s="112">
        <f t="shared" si="9"/>
        <v>0</v>
      </c>
      <c r="S164" s="108"/>
    </row>
    <row r="165" spans="1:19" x14ac:dyDescent="0.25">
      <c r="A165" s="107">
        <v>156</v>
      </c>
      <c r="B165" s="105" t="s">
        <v>50</v>
      </c>
      <c r="C165" s="105" t="str">
        <f t="shared" si="10"/>
        <v>51</v>
      </c>
      <c r="D165" s="105">
        <v>0</v>
      </c>
      <c r="E165" s="106" t="e">
        <v>#N/A</v>
      </c>
      <c r="F165" s="107" t="e">
        <f t="shared" si="14"/>
        <v>#N/A</v>
      </c>
      <c r="G165" s="105" t="s">
        <v>526</v>
      </c>
      <c r="H165" s="107" t="s">
        <v>527</v>
      </c>
      <c r="I165" s="112">
        <v>0</v>
      </c>
      <c r="J165" s="113">
        <f>SUMIFS('Budget Worksheet'!$J$5:$J$234,'Budget Worksheet'!$B$5:$B$234,'Master Budget'!G165)</f>
        <v>0</v>
      </c>
      <c r="K165" s="113"/>
      <c r="L165" s="113">
        <f>SUMIFS('Budget Worksheet'!$L$5:$L$234,'Budget Worksheet'!$B$5:$B$234,'Master Budget'!G165)</f>
        <v>0</v>
      </c>
      <c r="M165" s="113">
        <f>_xlfn.XLOOKUP(G165,'Budget Worksheet'!$B$5:$B$234,'Budget Worksheet'!$N$5:$N$234,0)</f>
        <v>0</v>
      </c>
      <c r="N165" s="113">
        <f>_xlfn.XLOOKUP(G165,'Budget Worksheet'!$B$5:$B$234,'Budget Worksheet'!$P$5:$P$234,0)</f>
        <v>0</v>
      </c>
      <c r="O165" s="113">
        <f>_xlfn.XLOOKUP(G165,'Budget Worksheet'!$B$4:$B$234,'Budget Worksheet'!$S$4:$S$234,0)</f>
        <v>0</v>
      </c>
      <c r="P165" s="113">
        <f>_xlfn.XLOOKUP(G165,'Budget Worksheet'!$B$4:$B$234,'Budget Worksheet'!$U$4:$U$234,0)</f>
        <v>0</v>
      </c>
      <c r="Q165" s="107" t="e">
        <f>MATCH(G165,'Budget Worksheet'!$B$5:$B$234,0)</f>
        <v>#N/A</v>
      </c>
      <c r="R165" s="112">
        <f t="shared" si="9"/>
        <v>0</v>
      </c>
      <c r="S165" s="108"/>
    </row>
    <row r="166" spans="1:19" x14ac:dyDescent="0.25">
      <c r="A166" s="107">
        <v>157</v>
      </c>
      <c r="B166" s="105" t="s">
        <v>50</v>
      </c>
      <c r="C166" s="105" t="str">
        <f t="shared" si="10"/>
        <v>51</v>
      </c>
      <c r="D166" s="105">
        <v>11500</v>
      </c>
      <c r="E166" s="106" t="s">
        <v>54</v>
      </c>
      <c r="F166" s="107" t="str">
        <f t="shared" si="14"/>
        <v>11500 Accounts Receivable</v>
      </c>
      <c r="G166" s="105" t="s">
        <v>528</v>
      </c>
      <c r="H166" s="107" t="s">
        <v>179</v>
      </c>
      <c r="I166" s="112">
        <v>0</v>
      </c>
      <c r="J166" s="113">
        <f>SUMIFS('Budget Worksheet'!$J$5:$J$234,'Budget Worksheet'!$B$5:$B$234,'Master Budget'!G166)</f>
        <v>0</v>
      </c>
      <c r="K166" s="113"/>
      <c r="L166" s="113">
        <f>SUMIFS('Budget Worksheet'!$L$5:$L$234,'Budget Worksheet'!$B$5:$B$234,'Master Budget'!G166)</f>
        <v>0</v>
      </c>
      <c r="M166" s="113">
        <f>_xlfn.XLOOKUP(G166,'Budget Worksheet'!$B$5:$B$234,'Budget Worksheet'!$N$5:$N$234,0)</f>
        <v>0</v>
      </c>
      <c r="N166" s="113">
        <f>_xlfn.XLOOKUP(G166,'Budget Worksheet'!$B$5:$B$234,'Budget Worksheet'!$P$5:$P$234,0)</f>
        <v>0</v>
      </c>
      <c r="O166" s="113">
        <f>_xlfn.XLOOKUP(G166,'Budget Worksheet'!$B$4:$B$234,'Budget Worksheet'!$S$4:$S$234,0)</f>
        <v>0</v>
      </c>
      <c r="P166" s="113">
        <f>_xlfn.XLOOKUP(G166,'Budget Worksheet'!$B$4:$B$234,'Budget Worksheet'!$U$4:$U$234,0)</f>
        <v>0</v>
      </c>
      <c r="Q166" s="107" t="e">
        <f>MATCH(G166,'Budget Worksheet'!$B$5:$B$234,0)</f>
        <v>#N/A</v>
      </c>
      <c r="R166" s="112">
        <f t="shared" si="9"/>
        <v>0</v>
      </c>
      <c r="S166" s="108"/>
    </row>
    <row r="167" spans="1:19" x14ac:dyDescent="0.25">
      <c r="A167" s="107">
        <v>158</v>
      </c>
      <c r="B167" s="114" t="s">
        <v>50</v>
      </c>
      <c r="C167" s="105" t="str">
        <f t="shared" si="10"/>
        <v>51</v>
      </c>
      <c r="D167" s="114">
        <v>11570</v>
      </c>
      <c r="E167" s="117" t="s">
        <v>1076</v>
      </c>
      <c r="F167" s="115" t="str">
        <f t="shared" si="14"/>
        <v>11570 Allowance for Uncollectible Accounts Receivable</v>
      </c>
      <c r="G167" s="114" t="s">
        <v>530</v>
      </c>
      <c r="H167" s="115" t="s">
        <v>531</v>
      </c>
      <c r="I167" s="112">
        <v>0</v>
      </c>
      <c r="J167" s="113">
        <f>SUMIFS('Budget Worksheet'!$J$5:$J$234,'Budget Worksheet'!$B$5:$B$234,'Master Budget'!G167)</f>
        <v>0</v>
      </c>
      <c r="K167" s="113"/>
      <c r="L167" s="113">
        <f>SUMIFS('Budget Worksheet'!$L$5:$L$234,'Budget Worksheet'!$B$5:$B$234,'Master Budget'!G167)</f>
        <v>0</v>
      </c>
      <c r="M167" s="113">
        <f>_xlfn.XLOOKUP(G167,'Budget Worksheet'!$B$5:$B$234,'Budget Worksheet'!$N$5:$N$234,0)</f>
        <v>0</v>
      </c>
      <c r="N167" s="113">
        <f>_xlfn.XLOOKUP(G167,'Budget Worksheet'!$B$5:$B$234,'Budget Worksheet'!$P$5:$P$234,0)</f>
        <v>0</v>
      </c>
      <c r="O167" s="113">
        <f>_xlfn.XLOOKUP(G167,'Budget Worksheet'!$B$4:$B$234,'Budget Worksheet'!$S$4:$S$234,0)</f>
        <v>0</v>
      </c>
      <c r="P167" s="113">
        <f>_xlfn.XLOOKUP(G167,'Budget Worksheet'!$B$4:$B$234,'Budget Worksheet'!$U$4:$U$234,0)</f>
        <v>0</v>
      </c>
      <c r="Q167" s="107" t="e">
        <f>MATCH(G167,'Budget Worksheet'!$B$5:$B$234,0)</f>
        <v>#N/A</v>
      </c>
      <c r="R167" s="112">
        <f t="shared" si="9"/>
        <v>0</v>
      </c>
      <c r="S167" s="108"/>
    </row>
    <row r="168" spans="1:19" x14ac:dyDescent="0.25">
      <c r="A168" s="107">
        <v>159</v>
      </c>
      <c r="B168" s="105" t="s">
        <v>50</v>
      </c>
      <c r="C168" s="105" t="str">
        <f t="shared" si="10"/>
        <v>51</v>
      </c>
      <c r="D168" s="105">
        <v>14300</v>
      </c>
      <c r="E168" s="106" t="s">
        <v>56</v>
      </c>
      <c r="F168" s="107" t="str">
        <f t="shared" si="14"/>
        <v>14300 Prepaid Expenses</v>
      </c>
      <c r="G168" s="105" t="s">
        <v>532</v>
      </c>
      <c r="H168" s="107" t="s">
        <v>56</v>
      </c>
      <c r="I168" s="112">
        <v>0</v>
      </c>
      <c r="J168" s="113">
        <f>SUMIFS('Budget Worksheet'!$J$5:$J$234,'Budget Worksheet'!$B$5:$B$234,'Master Budget'!G168)</f>
        <v>0</v>
      </c>
      <c r="K168" s="113"/>
      <c r="L168" s="113">
        <f>SUMIFS('Budget Worksheet'!$L$5:$L$234,'Budget Worksheet'!$B$5:$B$234,'Master Budget'!G168)</f>
        <v>0</v>
      </c>
      <c r="M168" s="113">
        <f>_xlfn.XLOOKUP(G168,'Budget Worksheet'!$B$5:$B$234,'Budget Worksheet'!$N$5:$N$234,0)</f>
        <v>0</v>
      </c>
      <c r="N168" s="113">
        <f>_xlfn.XLOOKUP(G168,'Budget Worksheet'!$B$5:$B$234,'Budget Worksheet'!$P$5:$P$234,0)</f>
        <v>0</v>
      </c>
      <c r="O168" s="113">
        <f>_xlfn.XLOOKUP(G168,'Budget Worksheet'!$B$4:$B$234,'Budget Worksheet'!$S$4:$S$234,0)</f>
        <v>0</v>
      </c>
      <c r="P168" s="113">
        <f>_xlfn.XLOOKUP(G168,'Budget Worksheet'!$B$4:$B$234,'Budget Worksheet'!$U$4:$U$234,0)</f>
        <v>0</v>
      </c>
      <c r="Q168" s="107" t="e">
        <f>MATCH(G168,'Budget Worksheet'!$B$5:$B$234,0)</f>
        <v>#N/A</v>
      </c>
      <c r="R168" s="112">
        <f t="shared" si="9"/>
        <v>0</v>
      </c>
      <c r="S168" s="108"/>
    </row>
    <row r="169" spans="1:19" x14ac:dyDescent="0.25">
      <c r="A169" s="107">
        <v>160</v>
      </c>
      <c r="B169" s="105" t="s">
        <v>50</v>
      </c>
      <c r="C169" s="105" t="str">
        <f t="shared" si="10"/>
        <v>51</v>
      </c>
      <c r="D169" s="105">
        <v>16320</v>
      </c>
      <c r="E169" s="106" t="s">
        <v>796</v>
      </c>
      <c r="F169" s="107" t="str">
        <f t="shared" si="14"/>
        <v>16320 Equipment</v>
      </c>
      <c r="G169" s="105" t="s">
        <v>534</v>
      </c>
      <c r="H169" s="107" t="s">
        <v>535</v>
      </c>
      <c r="I169" s="112">
        <v>0</v>
      </c>
      <c r="J169" s="113">
        <f>SUMIFS('Budget Worksheet'!$J$5:$J$234,'Budget Worksheet'!$B$5:$B$234,'Master Budget'!G169)</f>
        <v>0</v>
      </c>
      <c r="K169" s="113"/>
      <c r="L169" s="113">
        <f>SUMIFS('Budget Worksheet'!$L$5:$L$234,'Budget Worksheet'!$B$5:$B$234,'Master Budget'!G169)</f>
        <v>0</v>
      </c>
      <c r="M169" s="113">
        <f>_xlfn.XLOOKUP(G169,'Budget Worksheet'!$B$5:$B$234,'Budget Worksheet'!$N$5:$N$234,0)</f>
        <v>0</v>
      </c>
      <c r="N169" s="113">
        <f>_xlfn.XLOOKUP(G169,'Budget Worksheet'!$B$5:$B$234,'Budget Worksheet'!$P$5:$P$234,0)</f>
        <v>0</v>
      </c>
      <c r="O169" s="113">
        <f>_xlfn.XLOOKUP(G169,'Budget Worksheet'!$B$4:$B$234,'Budget Worksheet'!$S$4:$S$234,0)</f>
        <v>0</v>
      </c>
      <c r="P169" s="113">
        <f>_xlfn.XLOOKUP(G169,'Budget Worksheet'!$B$4:$B$234,'Budget Worksheet'!$U$4:$U$234,0)</f>
        <v>0</v>
      </c>
      <c r="Q169" s="107" t="e">
        <f>MATCH(G169,'Budget Worksheet'!$B$5:$B$234,0)</f>
        <v>#N/A</v>
      </c>
      <c r="R169" s="112">
        <f t="shared" si="9"/>
        <v>0</v>
      </c>
      <c r="S169" s="108"/>
    </row>
    <row r="170" spans="1:19" x14ac:dyDescent="0.25">
      <c r="A170" s="107">
        <v>161</v>
      </c>
      <c r="B170" s="105" t="s">
        <v>50</v>
      </c>
      <c r="C170" s="105" t="str">
        <f t="shared" si="10"/>
        <v>51</v>
      </c>
      <c r="D170" s="105">
        <v>16300</v>
      </c>
      <c r="E170" s="106" t="s">
        <v>1010</v>
      </c>
      <c r="F170" s="107" t="str">
        <f t="shared" si="14"/>
        <v>16300 Water Shares</v>
      </c>
      <c r="G170" s="105" t="s">
        <v>536</v>
      </c>
      <c r="H170" s="107" t="s">
        <v>537</v>
      </c>
      <c r="I170" s="112">
        <v>0</v>
      </c>
      <c r="J170" s="113">
        <f>SUMIFS('Budget Worksheet'!$J$5:$J$234,'Budget Worksheet'!$B$5:$B$234,'Master Budget'!G170)</f>
        <v>0</v>
      </c>
      <c r="K170" s="113"/>
      <c r="L170" s="113">
        <f>SUMIFS('Budget Worksheet'!$L$5:$L$234,'Budget Worksheet'!$B$5:$B$234,'Master Budget'!G170)</f>
        <v>0</v>
      </c>
      <c r="M170" s="113">
        <f>_xlfn.XLOOKUP(G170,'Budget Worksheet'!$B$5:$B$234,'Budget Worksheet'!$N$5:$N$234,0)</f>
        <v>0</v>
      </c>
      <c r="N170" s="113">
        <f>_xlfn.XLOOKUP(G170,'Budget Worksheet'!$B$5:$B$234,'Budget Worksheet'!$P$5:$P$234,0)</f>
        <v>0</v>
      </c>
      <c r="O170" s="113">
        <f>_xlfn.XLOOKUP(G170,'Budget Worksheet'!$B$4:$B$234,'Budget Worksheet'!$S$4:$S$234,0)</f>
        <v>0</v>
      </c>
      <c r="P170" s="113">
        <f>_xlfn.XLOOKUP(G170,'Budget Worksheet'!$B$4:$B$234,'Budget Worksheet'!$U$4:$U$234,0)</f>
        <v>0</v>
      </c>
      <c r="Q170" s="107" t="e">
        <f>MATCH(G170,'Budget Worksheet'!$B$5:$B$234,0)</f>
        <v>#N/A</v>
      </c>
      <c r="R170" s="112">
        <f t="shared" si="9"/>
        <v>0</v>
      </c>
      <c r="S170" s="108"/>
    </row>
    <row r="171" spans="1:19" x14ac:dyDescent="0.25">
      <c r="A171" s="107">
        <v>162</v>
      </c>
      <c r="B171" s="105" t="s">
        <v>50</v>
      </c>
      <c r="C171" s="105" t="str">
        <f t="shared" si="10"/>
        <v>51</v>
      </c>
      <c r="D171" s="105">
        <v>16310</v>
      </c>
      <c r="E171" s="106" t="s">
        <v>539</v>
      </c>
      <c r="F171" s="107" t="str">
        <f t="shared" si="14"/>
        <v>16310 Water System</v>
      </c>
      <c r="G171" s="105" t="s">
        <v>538</v>
      </c>
      <c r="H171" s="107" t="s">
        <v>539</v>
      </c>
      <c r="I171" s="112">
        <v>0</v>
      </c>
      <c r="J171" s="113">
        <f>SUMIFS('Budget Worksheet'!$J$5:$J$234,'Budget Worksheet'!$B$5:$B$234,'Master Budget'!G171)</f>
        <v>0</v>
      </c>
      <c r="K171" s="113"/>
      <c r="L171" s="113">
        <f>SUMIFS('Budget Worksheet'!$L$5:$L$234,'Budget Worksheet'!$B$5:$B$234,'Master Budget'!G171)</f>
        <v>0</v>
      </c>
      <c r="M171" s="113">
        <f>_xlfn.XLOOKUP(G171,'Budget Worksheet'!$B$5:$B$234,'Budget Worksheet'!$N$5:$N$234,0)</f>
        <v>0</v>
      </c>
      <c r="N171" s="113">
        <f>_xlfn.XLOOKUP(G171,'Budget Worksheet'!$B$5:$B$234,'Budget Worksheet'!$P$5:$P$234,0)</f>
        <v>0</v>
      </c>
      <c r="O171" s="113">
        <f>_xlfn.XLOOKUP(G171,'Budget Worksheet'!$B$4:$B$234,'Budget Worksheet'!$S$4:$S$234,0)</f>
        <v>0</v>
      </c>
      <c r="P171" s="113">
        <f>_xlfn.XLOOKUP(G171,'Budget Worksheet'!$B$4:$B$234,'Budget Worksheet'!$U$4:$U$234,0)</f>
        <v>0</v>
      </c>
      <c r="Q171" s="107" t="e">
        <f>MATCH(G171,'Budget Worksheet'!$B$5:$B$234,0)</f>
        <v>#N/A</v>
      </c>
      <c r="R171" s="112">
        <f t="shared" si="9"/>
        <v>0</v>
      </c>
      <c r="S171" s="108"/>
    </row>
    <row r="172" spans="1:19" x14ac:dyDescent="0.25">
      <c r="A172" s="107">
        <v>163</v>
      </c>
      <c r="B172" s="105" t="s">
        <v>50</v>
      </c>
      <c r="C172" s="105" t="str">
        <f t="shared" si="10"/>
        <v>51</v>
      </c>
      <c r="D172" s="105">
        <v>16330</v>
      </c>
      <c r="E172" s="106" t="s">
        <v>1032</v>
      </c>
      <c r="F172" s="107" t="str">
        <f t="shared" si="14"/>
        <v>16330 Building and Improvements</v>
      </c>
      <c r="G172" s="105" t="s">
        <v>540</v>
      </c>
      <c r="H172" s="107" t="s">
        <v>541</v>
      </c>
      <c r="I172" s="112">
        <v>0</v>
      </c>
      <c r="J172" s="113">
        <f>SUMIFS('Budget Worksheet'!$J$5:$J$234,'Budget Worksheet'!$B$5:$B$234,'Master Budget'!G172)</f>
        <v>0</v>
      </c>
      <c r="K172" s="113"/>
      <c r="L172" s="113">
        <f>SUMIFS('Budget Worksheet'!$L$5:$L$234,'Budget Worksheet'!$B$5:$B$234,'Master Budget'!G172)</f>
        <v>0</v>
      </c>
      <c r="M172" s="113">
        <f>_xlfn.XLOOKUP(G172,'Budget Worksheet'!$B$5:$B$234,'Budget Worksheet'!$N$5:$N$234,0)</f>
        <v>0</v>
      </c>
      <c r="N172" s="113">
        <f>_xlfn.XLOOKUP(G172,'Budget Worksheet'!$B$5:$B$234,'Budget Worksheet'!$P$5:$P$234,0)</f>
        <v>0</v>
      </c>
      <c r="O172" s="113">
        <f>_xlfn.XLOOKUP(G172,'Budget Worksheet'!$B$4:$B$234,'Budget Worksheet'!$S$4:$S$234,0)</f>
        <v>0</v>
      </c>
      <c r="P172" s="113">
        <f>_xlfn.XLOOKUP(G172,'Budget Worksheet'!$B$4:$B$234,'Budget Worksheet'!$U$4:$U$234,0)</f>
        <v>0</v>
      </c>
      <c r="Q172" s="107" t="e">
        <f>MATCH(G172,'Budget Worksheet'!$B$5:$B$234,0)</f>
        <v>#N/A</v>
      </c>
      <c r="R172" s="112">
        <f t="shared" si="9"/>
        <v>0</v>
      </c>
      <c r="S172" s="108"/>
    </row>
    <row r="173" spans="1:19" x14ac:dyDescent="0.25">
      <c r="A173" s="107">
        <v>164</v>
      </c>
      <c r="B173" s="105" t="s">
        <v>50</v>
      </c>
      <c r="C173" s="105" t="str">
        <f t="shared" si="10"/>
        <v>51</v>
      </c>
      <c r="D173" s="105">
        <v>16320</v>
      </c>
      <c r="E173" s="106" t="s">
        <v>796</v>
      </c>
      <c r="F173" s="107" t="str">
        <f t="shared" si="14"/>
        <v>16320 Equipment</v>
      </c>
      <c r="G173" s="105" t="s">
        <v>542</v>
      </c>
      <c r="H173" s="107" t="s">
        <v>543</v>
      </c>
      <c r="I173" s="112">
        <v>0</v>
      </c>
      <c r="J173" s="113">
        <f>SUMIFS('Budget Worksheet'!$J$5:$J$234,'Budget Worksheet'!$B$5:$B$234,'Master Budget'!G173)</f>
        <v>0</v>
      </c>
      <c r="K173" s="113"/>
      <c r="L173" s="113">
        <f>SUMIFS('Budget Worksheet'!$L$5:$L$234,'Budget Worksheet'!$B$5:$B$234,'Master Budget'!G173)</f>
        <v>0</v>
      </c>
      <c r="M173" s="113">
        <f>_xlfn.XLOOKUP(G173,'Budget Worksheet'!$B$5:$B$234,'Budget Worksheet'!$N$5:$N$234,0)</f>
        <v>0</v>
      </c>
      <c r="N173" s="113">
        <f>_xlfn.XLOOKUP(G173,'Budget Worksheet'!$B$5:$B$234,'Budget Worksheet'!$P$5:$P$234,0)</f>
        <v>0</v>
      </c>
      <c r="O173" s="113">
        <f>_xlfn.XLOOKUP(G173,'Budget Worksheet'!$B$4:$B$234,'Budget Worksheet'!$S$4:$S$234,0)</f>
        <v>0</v>
      </c>
      <c r="P173" s="113">
        <f>_xlfn.XLOOKUP(G173,'Budget Worksheet'!$B$4:$B$234,'Budget Worksheet'!$U$4:$U$234,0)</f>
        <v>0</v>
      </c>
      <c r="Q173" s="107" t="e">
        <f>MATCH(G173,'Budget Worksheet'!$B$5:$B$234,0)</f>
        <v>#N/A</v>
      </c>
      <c r="R173" s="112">
        <f t="shared" si="9"/>
        <v>0</v>
      </c>
      <c r="S173" s="108"/>
    </row>
    <row r="174" spans="1:19" x14ac:dyDescent="0.25">
      <c r="A174" s="107">
        <v>165</v>
      </c>
      <c r="B174" s="105" t="s">
        <v>50</v>
      </c>
      <c r="C174" s="105" t="str">
        <f t="shared" si="10"/>
        <v>51</v>
      </c>
      <c r="D174" s="105">
        <v>16500</v>
      </c>
      <c r="E174" s="106" t="s">
        <v>1033</v>
      </c>
      <c r="F174" s="107" t="str">
        <f t="shared" si="14"/>
        <v>16500 Right to use assets</v>
      </c>
      <c r="G174" s="105" t="s">
        <v>544</v>
      </c>
      <c r="H174" s="107" t="s">
        <v>1035</v>
      </c>
      <c r="I174" s="112">
        <v>0</v>
      </c>
      <c r="J174" s="113">
        <f>SUMIFS('Budget Worksheet'!$J$5:$J$234,'Budget Worksheet'!$B$5:$B$234,'Master Budget'!G174)</f>
        <v>0</v>
      </c>
      <c r="K174" s="113"/>
      <c r="L174" s="113">
        <f>SUMIFS('Budget Worksheet'!$L$5:$L$234,'Budget Worksheet'!$B$5:$B$234,'Master Budget'!G174)</f>
        <v>0</v>
      </c>
      <c r="M174" s="113">
        <f>_xlfn.XLOOKUP(G174,'Budget Worksheet'!$B$5:$B$234,'Budget Worksheet'!$N$5:$N$234,0)</f>
        <v>0</v>
      </c>
      <c r="N174" s="113">
        <f>_xlfn.XLOOKUP(G174,'Budget Worksheet'!$B$5:$B$234,'Budget Worksheet'!$P$5:$P$234,0)</f>
        <v>0</v>
      </c>
      <c r="O174" s="113">
        <f>_xlfn.XLOOKUP(G174,'Budget Worksheet'!$B$4:$B$234,'Budget Worksheet'!$S$4:$S$234,0)</f>
        <v>0</v>
      </c>
      <c r="P174" s="113">
        <f>_xlfn.XLOOKUP(G174,'Budget Worksheet'!$B$4:$B$234,'Budget Worksheet'!$U$4:$U$234,0)</f>
        <v>0</v>
      </c>
      <c r="Q174" s="107" t="e">
        <f>MATCH(G174,'Budget Worksheet'!$B$5:$B$234,0)</f>
        <v>#N/A</v>
      </c>
      <c r="R174" s="112">
        <f t="shared" si="9"/>
        <v>0</v>
      </c>
      <c r="S174" s="108"/>
    </row>
    <row r="175" spans="1:19" x14ac:dyDescent="0.25">
      <c r="A175" s="107">
        <v>166</v>
      </c>
      <c r="B175" s="105" t="s">
        <v>50</v>
      </c>
      <c r="C175" s="105" t="str">
        <f t="shared" si="10"/>
        <v>51</v>
      </c>
      <c r="D175" s="105">
        <v>16600</v>
      </c>
      <c r="E175" s="106" t="s">
        <v>547</v>
      </c>
      <c r="F175" s="107" t="str">
        <f t="shared" si="14"/>
        <v>16600 Construction In Progress</v>
      </c>
      <c r="G175" s="105" t="s">
        <v>546</v>
      </c>
      <c r="H175" s="107" t="s">
        <v>547</v>
      </c>
      <c r="I175" s="112">
        <v>0</v>
      </c>
      <c r="J175" s="113">
        <f>SUMIFS('Budget Worksheet'!$J$5:$J$234,'Budget Worksheet'!$B$5:$B$234,'Master Budget'!G175)</f>
        <v>0</v>
      </c>
      <c r="K175" s="113"/>
      <c r="L175" s="113">
        <f>SUMIFS('Budget Worksheet'!$L$5:$L$234,'Budget Worksheet'!$B$5:$B$234,'Master Budget'!G175)</f>
        <v>0</v>
      </c>
      <c r="M175" s="113">
        <f>_xlfn.XLOOKUP(G175,'Budget Worksheet'!$B$5:$B$234,'Budget Worksheet'!$N$5:$N$234,0)</f>
        <v>0</v>
      </c>
      <c r="N175" s="113">
        <f>_xlfn.XLOOKUP(G175,'Budget Worksheet'!$B$5:$B$234,'Budget Worksheet'!$P$5:$P$234,0)</f>
        <v>0</v>
      </c>
      <c r="O175" s="113">
        <f>_xlfn.XLOOKUP(G175,'Budget Worksheet'!$B$4:$B$234,'Budget Worksheet'!$S$4:$S$234,0)</f>
        <v>0</v>
      </c>
      <c r="P175" s="113">
        <f>_xlfn.XLOOKUP(G175,'Budget Worksheet'!$B$4:$B$234,'Budget Worksheet'!$U$4:$U$234,0)</f>
        <v>0</v>
      </c>
      <c r="Q175" s="107" t="e">
        <f>MATCH(G175,'Budget Worksheet'!$B$5:$B$234,0)</f>
        <v>#N/A</v>
      </c>
      <c r="R175" s="112">
        <f t="shared" si="9"/>
        <v>0</v>
      </c>
      <c r="S175" s="108"/>
    </row>
    <row r="176" spans="1:19" x14ac:dyDescent="0.25">
      <c r="A176" s="107">
        <v>167</v>
      </c>
      <c r="B176" s="105" t="s">
        <v>50</v>
      </c>
      <c r="C176" s="105" t="str">
        <f t="shared" si="10"/>
        <v>51</v>
      </c>
      <c r="D176" s="105">
        <v>16900</v>
      </c>
      <c r="E176" s="106" t="s">
        <v>198</v>
      </c>
      <c r="F176" s="107" t="str">
        <f t="shared" ref="F176:F207" si="15">D176&amp;" "&amp;E176</f>
        <v>16900 Accumulated Depreciation</v>
      </c>
      <c r="G176" s="105" t="s">
        <v>548</v>
      </c>
      <c r="H176" s="107" t="s">
        <v>198</v>
      </c>
      <c r="I176" s="112">
        <v>0</v>
      </c>
      <c r="J176" s="113">
        <f>SUMIFS('Budget Worksheet'!$J$5:$J$234,'Budget Worksheet'!$B$5:$B$234,'Master Budget'!G176)</f>
        <v>0</v>
      </c>
      <c r="K176" s="113"/>
      <c r="L176" s="113">
        <f>SUMIFS('Budget Worksheet'!$L$5:$L$234,'Budget Worksheet'!$B$5:$B$234,'Master Budget'!G176)</f>
        <v>0</v>
      </c>
      <c r="M176" s="113">
        <f>_xlfn.XLOOKUP(G176,'Budget Worksheet'!$B$5:$B$234,'Budget Worksheet'!$N$5:$N$234,0)</f>
        <v>0</v>
      </c>
      <c r="N176" s="113">
        <f>_xlfn.XLOOKUP(G176,'Budget Worksheet'!$B$5:$B$234,'Budget Worksheet'!$P$5:$P$234,0)</f>
        <v>0</v>
      </c>
      <c r="O176" s="113">
        <f>_xlfn.XLOOKUP(G176,'Budget Worksheet'!$B$4:$B$234,'Budget Worksheet'!$S$4:$S$234,0)</f>
        <v>0</v>
      </c>
      <c r="P176" s="113">
        <f>_xlfn.XLOOKUP(G176,'Budget Worksheet'!$B$4:$B$234,'Budget Worksheet'!$U$4:$U$234,0)</f>
        <v>0</v>
      </c>
      <c r="Q176" s="107" t="e">
        <f>MATCH(G176,'Budget Worksheet'!$B$5:$B$234,0)</f>
        <v>#N/A</v>
      </c>
      <c r="R176" s="112">
        <f t="shared" si="9"/>
        <v>0</v>
      </c>
      <c r="S176" s="108"/>
    </row>
    <row r="177" spans="1:19" x14ac:dyDescent="0.25">
      <c r="A177" s="107">
        <v>168</v>
      </c>
      <c r="B177" s="105" t="s">
        <v>71</v>
      </c>
      <c r="C177" s="105" t="str">
        <f t="shared" si="10"/>
        <v>51</v>
      </c>
      <c r="D177" s="105">
        <v>21100</v>
      </c>
      <c r="E177" s="106" t="s">
        <v>70</v>
      </c>
      <c r="F177" s="107" t="str">
        <f t="shared" si="15"/>
        <v>21100 Accounts Payable</v>
      </c>
      <c r="G177" s="105" t="s">
        <v>549</v>
      </c>
      <c r="H177" s="107" t="s">
        <v>70</v>
      </c>
      <c r="I177" s="112">
        <v>0</v>
      </c>
      <c r="J177" s="113">
        <f>SUMIFS('Budget Worksheet'!$J$5:$J$234,'Budget Worksheet'!$B$5:$B$234,'Master Budget'!G177)</f>
        <v>0</v>
      </c>
      <c r="K177" s="113"/>
      <c r="L177" s="113">
        <f>SUMIFS('Budget Worksheet'!$L$5:$L$234,'Budget Worksheet'!$B$5:$B$234,'Master Budget'!G177)</f>
        <v>0</v>
      </c>
      <c r="M177" s="113">
        <f>_xlfn.XLOOKUP(G177,'Budget Worksheet'!$B$5:$B$234,'Budget Worksheet'!$N$5:$N$234,0)</f>
        <v>0</v>
      </c>
      <c r="N177" s="113">
        <f>_xlfn.XLOOKUP(G177,'Budget Worksheet'!$B$5:$B$234,'Budget Worksheet'!$P$5:$P$234,0)</f>
        <v>0</v>
      </c>
      <c r="O177" s="113">
        <f>_xlfn.XLOOKUP(G177,'Budget Worksheet'!$B$4:$B$234,'Budget Worksheet'!$S$4:$S$234,0)</f>
        <v>0</v>
      </c>
      <c r="P177" s="113">
        <f>_xlfn.XLOOKUP(G177,'Budget Worksheet'!$B$4:$B$234,'Budget Worksheet'!$U$4:$U$234,0)</f>
        <v>0</v>
      </c>
      <c r="Q177" s="107" t="e">
        <f>MATCH(G177,'Budget Worksheet'!$B$5:$B$234,0)</f>
        <v>#N/A</v>
      </c>
      <c r="R177" s="112">
        <f t="shared" si="9"/>
        <v>0</v>
      </c>
      <c r="S177" s="108"/>
    </row>
    <row r="178" spans="1:19" x14ac:dyDescent="0.25">
      <c r="A178" s="107">
        <v>169</v>
      </c>
      <c r="B178" s="105" t="s">
        <v>71</v>
      </c>
      <c r="C178" s="105" t="str">
        <f t="shared" si="10"/>
        <v>51</v>
      </c>
      <c r="D178" s="105">
        <v>22200</v>
      </c>
      <c r="E178" s="106" t="s">
        <v>1040</v>
      </c>
      <c r="F178" s="107" t="str">
        <f t="shared" si="15"/>
        <v>22200 Accrued Expenses</v>
      </c>
      <c r="G178" s="105" t="s">
        <v>551</v>
      </c>
      <c r="H178" s="107" t="s">
        <v>73</v>
      </c>
      <c r="I178" s="112">
        <v>0</v>
      </c>
      <c r="J178" s="113">
        <f>SUMIFS('Budget Worksheet'!$J$5:$J$234,'Budget Worksheet'!$B$5:$B$234,'Master Budget'!G178)</f>
        <v>0</v>
      </c>
      <c r="K178" s="113"/>
      <c r="L178" s="113">
        <f>SUMIFS('Budget Worksheet'!$L$5:$L$234,'Budget Worksheet'!$B$5:$B$234,'Master Budget'!G178)</f>
        <v>0</v>
      </c>
      <c r="M178" s="113">
        <f>_xlfn.XLOOKUP(G178,'Budget Worksheet'!$B$5:$B$234,'Budget Worksheet'!$N$5:$N$234,0)</f>
        <v>0</v>
      </c>
      <c r="N178" s="113">
        <f>_xlfn.XLOOKUP(G178,'Budget Worksheet'!$B$5:$B$234,'Budget Worksheet'!$P$5:$P$234,0)</f>
        <v>0</v>
      </c>
      <c r="O178" s="113">
        <f>_xlfn.XLOOKUP(G178,'Budget Worksheet'!$B$4:$B$234,'Budget Worksheet'!$S$4:$S$234,0)</f>
        <v>0</v>
      </c>
      <c r="P178" s="113">
        <f>_xlfn.XLOOKUP(G178,'Budget Worksheet'!$B$4:$B$234,'Budget Worksheet'!$U$4:$U$234,0)</f>
        <v>0</v>
      </c>
      <c r="Q178" s="107" t="e">
        <f>MATCH(G178,'Budget Worksheet'!$B$5:$B$234,0)</f>
        <v>#N/A</v>
      </c>
      <c r="R178" s="112">
        <f t="shared" si="9"/>
        <v>0</v>
      </c>
      <c r="S178" s="108"/>
    </row>
    <row r="179" spans="1:19" x14ac:dyDescent="0.25">
      <c r="A179" s="107">
        <v>170</v>
      </c>
      <c r="B179" s="105" t="s">
        <v>71</v>
      </c>
      <c r="C179" s="105" t="str">
        <f t="shared" si="10"/>
        <v>51</v>
      </c>
      <c r="D179" s="105">
        <v>22200</v>
      </c>
      <c r="E179" s="106" t="s">
        <v>1040</v>
      </c>
      <c r="F179" s="107" t="str">
        <f t="shared" si="15"/>
        <v>22200 Accrued Expenses</v>
      </c>
      <c r="G179" s="105" t="s">
        <v>552</v>
      </c>
      <c r="H179" s="107" t="s">
        <v>208</v>
      </c>
      <c r="I179" s="112">
        <v>0</v>
      </c>
      <c r="J179" s="113">
        <f>SUMIFS('Budget Worksheet'!$J$5:$J$234,'Budget Worksheet'!$B$5:$B$234,'Master Budget'!G179)</f>
        <v>0</v>
      </c>
      <c r="K179" s="113"/>
      <c r="L179" s="113">
        <f>SUMIFS('Budget Worksheet'!$L$5:$L$234,'Budget Worksheet'!$B$5:$B$234,'Master Budget'!G179)</f>
        <v>0</v>
      </c>
      <c r="M179" s="113">
        <f>_xlfn.XLOOKUP(G179,'Budget Worksheet'!$B$5:$B$234,'Budget Worksheet'!$N$5:$N$234,0)</f>
        <v>0</v>
      </c>
      <c r="N179" s="113">
        <f>_xlfn.XLOOKUP(G179,'Budget Worksheet'!$B$5:$B$234,'Budget Worksheet'!$P$5:$P$234,0)</f>
        <v>0</v>
      </c>
      <c r="O179" s="113">
        <f>_xlfn.XLOOKUP(G179,'Budget Worksheet'!$B$4:$B$234,'Budget Worksheet'!$S$4:$S$234,0)</f>
        <v>0</v>
      </c>
      <c r="P179" s="113">
        <f>_xlfn.XLOOKUP(G179,'Budget Worksheet'!$B$4:$B$234,'Budget Worksheet'!$U$4:$U$234,0)</f>
        <v>0</v>
      </c>
      <c r="Q179" s="107" t="e">
        <f>MATCH(G179,'Budget Worksheet'!$B$5:$B$234,0)</f>
        <v>#N/A</v>
      </c>
      <c r="R179" s="112">
        <f t="shared" si="9"/>
        <v>0</v>
      </c>
      <c r="S179" s="108"/>
    </row>
    <row r="180" spans="1:19" x14ac:dyDescent="0.25">
      <c r="A180" s="107">
        <v>171</v>
      </c>
      <c r="B180" s="105" t="s">
        <v>71</v>
      </c>
      <c r="C180" s="105" t="str">
        <f t="shared" si="10"/>
        <v>51</v>
      </c>
      <c r="D180" s="105">
        <v>22200</v>
      </c>
      <c r="E180" s="106" t="s">
        <v>1040</v>
      </c>
      <c r="F180" s="107" t="str">
        <f t="shared" si="15"/>
        <v>22200 Accrued Expenses</v>
      </c>
      <c r="G180" s="105" t="s">
        <v>553</v>
      </c>
      <c r="H180" s="107" t="s">
        <v>210</v>
      </c>
      <c r="I180" s="112">
        <v>0</v>
      </c>
      <c r="J180" s="113">
        <f>SUMIFS('Budget Worksheet'!$J$5:$J$234,'Budget Worksheet'!$B$5:$B$234,'Master Budget'!G180)</f>
        <v>0</v>
      </c>
      <c r="K180" s="113"/>
      <c r="L180" s="113">
        <f>SUMIFS('Budget Worksheet'!$L$5:$L$234,'Budget Worksheet'!$B$5:$B$234,'Master Budget'!G180)</f>
        <v>0</v>
      </c>
      <c r="M180" s="113">
        <f>_xlfn.XLOOKUP(G180,'Budget Worksheet'!$B$5:$B$234,'Budget Worksheet'!$N$5:$N$234,0)</f>
        <v>0</v>
      </c>
      <c r="N180" s="113">
        <f>_xlfn.XLOOKUP(G180,'Budget Worksheet'!$B$5:$B$234,'Budget Worksheet'!$P$5:$P$234,0)</f>
        <v>0</v>
      </c>
      <c r="O180" s="113">
        <f>_xlfn.XLOOKUP(G180,'Budget Worksheet'!$B$4:$B$234,'Budget Worksheet'!$S$4:$S$234,0)</f>
        <v>0</v>
      </c>
      <c r="P180" s="113">
        <f>_xlfn.XLOOKUP(G180,'Budget Worksheet'!$B$4:$B$234,'Budget Worksheet'!$U$4:$U$234,0)</f>
        <v>0</v>
      </c>
      <c r="Q180" s="107" t="e">
        <f>MATCH(G180,'Budget Worksheet'!$B$5:$B$234,0)</f>
        <v>#N/A</v>
      </c>
      <c r="R180" s="112">
        <f t="shared" si="9"/>
        <v>0</v>
      </c>
      <c r="S180" s="108"/>
    </row>
    <row r="181" spans="1:19" x14ac:dyDescent="0.25">
      <c r="A181" s="107">
        <v>172</v>
      </c>
      <c r="B181" s="105" t="s">
        <v>71</v>
      </c>
      <c r="C181" s="105" t="str">
        <f t="shared" si="10"/>
        <v>51</v>
      </c>
      <c r="D181" s="105">
        <v>22200</v>
      </c>
      <c r="E181" s="106" t="s">
        <v>1040</v>
      </c>
      <c r="F181" s="107" t="str">
        <f t="shared" si="15"/>
        <v>22200 Accrued Expenses</v>
      </c>
      <c r="G181" s="105" t="s">
        <v>554</v>
      </c>
      <c r="H181" s="107" t="s">
        <v>215</v>
      </c>
      <c r="I181" s="112">
        <v>0</v>
      </c>
      <c r="J181" s="113">
        <f>SUMIFS('Budget Worksheet'!$J$5:$J$234,'Budget Worksheet'!$B$5:$B$234,'Master Budget'!G181)</f>
        <v>0</v>
      </c>
      <c r="K181" s="113"/>
      <c r="L181" s="113">
        <f>SUMIFS('Budget Worksheet'!$L$5:$L$234,'Budget Worksheet'!$B$5:$B$234,'Master Budget'!G181)</f>
        <v>0</v>
      </c>
      <c r="M181" s="113">
        <f>_xlfn.XLOOKUP(G181,'Budget Worksheet'!$B$5:$B$234,'Budget Worksheet'!$N$5:$N$234,0)</f>
        <v>0</v>
      </c>
      <c r="N181" s="113">
        <f>_xlfn.XLOOKUP(G181,'Budget Worksheet'!$B$5:$B$234,'Budget Worksheet'!$P$5:$P$234,0)</f>
        <v>0</v>
      </c>
      <c r="O181" s="113">
        <f>_xlfn.XLOOKUP(G181,'Budget Worksheet'!$B$4:$B$234,'Budget Worksheet'!$S$4:$S$234,0)</f>
        <v>0</v>
      </c>
      <c r="P181" s="113">
        <f>_xlfn.XLOOKUP(G181,'Budget Worksheet'!$B$4:$B$234,'Budget Worksheet'!$U$4:$U$234,0)</f>
        <v>0</v>
      </c>
      <c r="Q181" s="107" t="e">
        <f>MATCH(G181,'Budget Worksheet'!$B$5:$B$234,0)</f>
        <v>#N/A</v>
      </c>
      <c r="R181" s="112">
        <f t="shared" si="9"/>
        <v>0</v>
      </c>
      <c r="S181" s="108"/>
    </row>
    <row r="182" spans="1:19" x14ac:dyDescent="0.25">
      <c r="A182" s="107">
        <v>173</v>
      </c>
      <c r="B182" s="105" t="s">
        <v>71</v>
      </c>
      <c r="C182" s="105" t="str">
        <f t="shared" si="10"/>
        <v>51</v>
      </c>
      <c r="D182" s="105">
        <v>22200</v>
      </c>
      <c r="E182" s="106" t="s">
        <v>1040</v>
      </c>
      <c r="F182" s="107" t="str">
        <f t="shared" si="15"/>
        <v>22200 Accrued Expenses</v>
      </c>
      <c r="G182" s="105" t="s">
        <v>555</v>
      </c>
      <c r="H182" s="107" t="s">
        <v>217</v>
      </c>
      <c r="I182" s="112">
        <v>0</v>
      </c>
      <c r="J182" s="113">
        <f>SUMIFS('Budget Worksheet'!$J$5:$J$234,'Budget Worksheet'!$B$5:$B$234,'Master Budget'!G182)</f>
        <v>0</v>
      </c>
      <c r="K182" s="113"/>
      <c r="L182" s="113">
        <f>SUMIFS('Budget Worksheet'!$L$5:$L$234,'Budget Worksheet'!$B$5:$B$234,'Master Budget'!G182)</f>
        <v>0</v>
      </c>
      <c r="M182" s="113">
        <f>_xlfn.XLOOKUP(G182,'Budget Worksheet'!$B$5:$B$234,'Budget Worksheet'!$N$5:$N$234,0)</f>
        <v>0</v>
      </c>
      <c r="N182" s="113">
        <f>_xlfn.XLOOKUP(G182,'Budget Worksheet'!$B$5:$B$234,'Budget Worksheet'!$P$5:$P$234,0)</f>
        <v>0</v>
      </c>
      <c r="O182" s="113">
        <f>_xlfn.XLOOKUP(G182,'Budget Worksheet'!$B$4:$B$234,'Budget Worksheet'!$S$4:$S$234,0)</f>
        <v>0</v>
      </c>
      <c r="P182" s="113">
        <f>_xlfn.XLOOKUP(G182,'Budget Worksheet'!$B$4:$B$234,'Budget Worksheet'!$U$4:$U$234,0)</f>
        <v>0</v>
      </c>
      <c r="Q182" s="107" t="e">
        <f>MATCH(G182,'Budget Worksheet'!$B$5:$B$234,0)</f>
        <v>#N/A</v>
      </c>
      <c r="R182" s="112">
        <f t="shared" si="9"/>
        <v>0</v>
      </c>
      <c r="S182" s="108"/>
    </row>
    <row r="183" spans="1:19" x14ac:dyDescent="0.25">
      <c r="A183" s="107">
        <v>174</v>
      </c>
      <c r="B183" s="105" t="s">
        <v>71</v>
      </c>
      <c r="C183" s="105" t="str">
        <f t="shared" si="10"/>
        <v>51</v>
      </c>
      <c r="D183" s="105">
        <v>22200</v>
      </c>
      <c r="E183" s="106" t="s">
        <v>1040</v>
      </c>
      <c r="F183" s="107" t="str">
        <f t="shared" si="15"/>
        <v>22200 Accrued Expenses</v>
      </c>
      <c r="G183" s="105" t="s">
        <v>556</v>
      </c>
      <c r="H183" s="107" t="s">
        <v>219</v>
      </c>
      <c r="I183" s="112">
        <v>0</v>
      </c>
      <c r="J183" s="113">
        <f>SUMIFS('Budget Worksheet'!$J$5:$J$234,'Budget Worksheet'!$B$5:$B$234,'Master Budget'!G183)</f>
        <v>0</v>
      </c>
      <c r="K183" s="113"/>
      <c r="L183" s="113">
        <f>SUMIFS('Budget Worksheet'!$L$5:$L$234,'Budget Worksheet'!$B$5:$B$234,'Master Budget'!G183)</f>
        <v>0</v>
      </c>
      <c r="M183" s="113">
        <f>_xlfn.XLOOKUP(G183,'Budget Worksheet'!$B$5:$B$234,'Budget Worksheet'!$N$5:$N$234,0)</f>
        <v>0</v>
      </c>
      <c r="N183" s="113">
        <f>_xlfn.XLOOKUP(G183,'Budget Worksheet'!$B$5:$B$234,'Budget Worksheet'!$P$5:$P$234,0)</f>
        <v>0</v>
      </c>
      <c r="O183" s="113">
        <f>_xlfn.XLOOKUP(G183,'Budget Worksheet'!$B$4:$B$234,'Budget Worksheet'!$S$4:$S$234,0)</f>
        <v>0</v>
      </c>
      <c r="P183" s="113">
        <f>_xlfn.XLOOKUP(G183,'Budget Worksheet'!$B$4:$B$234,'Budget Worksheet'!$U$4:$U$234,0)</f>
        <v>0</v>
      </c>
      <c r="Q183" s="107" t="e">
        <f>MATCH(G183,'Budget Worksheet'!$B$5:$B$234,0)</f>
        <v>#N/A</v>
      </c>
      <c r="R183" s="112">
        <f t="shared" si="9"/>
        <v>0</v>
      </c>
      <c r="S183" s="108"/>
    </row>
    <row r="184" spans="1:19" x14ac:dyDescent="0.25">
      <c r="A184" s="107">
        <v>175</v>
      </c>
      <c r="B184" s="105" t="s">
        <v>71</v>
      </c>
      <c r="C184" s="105" t="str">
        <f t="shared" si="10"/>
        <v>51</v>
      </c>
      <c r="D184" s="105">
        <v>23000</v>
      </c>
      <c r="E184" s="106" t="s">
        <v>221</v>
      </c>
      <c r="F184" s="107" t="str">
        <f t="shared" si="15"/>
        <v>23000 Unearned Revenue</v>
      </c>
      <c r="G184" s="105" t="s">
        <v>557</v>
      </c>
      <c r="H184" s="107" t="s">
        <v>221</v>
      </c>
      <c r="I184" s="112">
        <v>0</v>
      </c>
      <c r="J184" s="113">
        <f>SUMIFS('Budget Worksheet'!$J$5:$J$234,'Budget Worksheet'!$B$5:$B$234,'Master Budget'!G184)</f>
        <v>0</v>
      </c>
      <c r="K184" s="113"/>
      <c r="L184" s="113">
        <f>SUMIFS('Budget Worksheet'!$L$5:$L$234,'Budget Worksheet'!$B$5:$B$234,'Master Budget'!G184)</f>
        <v>0</v>
      </c>
      <c r="M184" s="113">
        <f>_xlfn.XLOOKUP(G184,'Budget Worksheet'!$B$5:$B$234,'Budget Worksheet'!$N$5:$N$234,0)</f>
        <v>0</v>
      </c>
      <c r="N184" s="113">
        <f>_xlfn.XLOOKUP(G184,'Budget Worksheet'!$B$5:$B$234,'Budget Worksheet'!$P$5:$P$234,0)</f>
        <v>0</v>
      </c>
      <c r="O184" s="113">
        <f>_xlfn.XLOOKUP(G184,'Budget Worksheet'!$B$4:$B$234,'Budget Worksheet'!$S$4:$S$234,0)</f>
        <v>0</v>
      </c>
      <c r="P184" s="113">
        <f>_xlfn.XLOOKUP(G184,'Budget Worksheet'!$B$4:$B$234,'Budget Worksheet'!$U$4:$U$234,0)</f>
        <v>0</v>
      </c>
      <c r="Q184" s="107" t="e">
        <f>MATCH(G184,'Budget Worksheet'!$B$5:$B$234,0)</f>
        <v>#N/A</v>
      </c>
      <c r="R184" s="112">
        <f t="shared" si="9"/>
        <v>0</v>
      </c>
      <c r="S184" s="108"/>
    </row>
    <row r="185" spans="1:19" x14ac:dyDescent="0.25">
      <c r="A185" s="107">
        <v>176</v>
      </c>
      <c r="B185" s="105" t="s">
        <v>71</v>
      </c>
      <c r="C185" s="105" t="str">
        <f t="shared" si="10"/>
        <v>51</v>
      </c>
      <c r="D185" s="105">
        <v>22200</v>
      </c>
      <c r="E185" s="106" t="s">
        <v>1040</v>
      </c>
      <c r="F185" s="107" t="str">
        <f t="shared" si="15"/>
        <v>22200 Accrued Expenses</v>
      </c>
      <c r="G185" s="105" t="s">
        <v>558</v>
      </c>
      <c r="H185" s="107" t="s">
        <v>89</v>
      </c>
      <c r="I185" s="112">
        <v>0</v>
      </c>
      <c r="J185" s="113">
        <f>SUMIFS('Budget Worksheet'!$J$5:$J$234,'Budget Worksheet'!$B$5:$B$234,'Master Budget'!G185)</f>
        <v>0</v>
      </c>
      <c r="K185" s="113"/>
      <c r="L185" s="113">
        <f>SUMIFS('Budget Worksheet'!$L$5:$L$234,'Budget Worksheet'!$B$5:$B$234,'Master Budget'!G185)</f>
        <v>0</v>
      </c>
      <c r="M185" s="113">
        <f>_xlfn.XLOOKUP(G185,'Budget Worksheet'!$B$5:$B$234,'Budget Worksheet'!$N$5:$N$234,0)</f>
        <v>0</v>
      </c>
      <c r="N185" s="113">
        <f>_xlfn.XLOOKUP(G185,'Budget Worksheet'!$B$5:$B$234,'Budget Worksheet'!$P$5:$P$234,0)</f>
        <v>0</v>
      </c>
      <c r="O185" s="113">
        <f>_xlfn.XLOOKUP(G185,'Budget Worksheet'!$B$4:$B$234,'Budget Worksheet'!$S$4:$S$234,0)</f>
        <v>0</v>
      </c>
      <c r="P185" s="113">
        <f>_xlfn.XLOOKUP(G185,'Budget Worksheet'!$B$4:$B$234,'Budget Worksheet'!$U$4:$U$234,0)</f>
        <v>0</v>
      </c>
      <c r="Q185" s="107" t="e">
        <f>MATCH(G185,'Budget Worksheet'!$B$5:$B$234,0)</f>
        <v>#N/A</v>
      </c>
      <c r="R185" s="112">
        <f t="shared" si="9"/>
        <v>0</v>
      </c>
      <c r="S185" s="108"/>
    </row>
    <row r="186" spans="1:19" x14ac:dyDescent="0.25">
      <c r="A186" s="107">
        <v>177</v>
      </c>
      <c r="B186" s="105" t="s">
        <v>71</v>
      </c>
      <c r="C186" s="105" t="str">
        <f t="shared" si="10"/>
        <v>51</v>
      </c>
      <c r="D186" s="105">
        <v>28000</v>
      </c>
      <c r="E186" s="106" t="s">
        <v>227</v>
      </c>
      <c r="F186" s="107" t="str">
        <f t="shared" si="15"/>
        <v>28000 Accrued Interest Payable</v>
      </c>
      <c r="G186" s="105" t="s">
        <v>561</v>
      </c>
      <c r="H186" s="107" t="s">
        <v>227</v>
      </c>
      <c r="I186" s="112">
        <v>0</v>
      </c>
      <c r="J186" s="113">
        <f>SUMIFS('Budget Worksheet'!$J$5:$J$234,'Budget Worksheet'!$B$5:$B$234,'Master Budget'!G186)</f>
        <v>0</v>
      </c>
      <c r="K186" s="113"/>
      <c r="L186" s="113">
        <f>SUMIFS('Budget Worksheet'!$L$5:$L$234,'Budget Worksheet'!$B$5:$B$234,'Master Budget'!G186)</f>
        <v>0</v>
      </c>
      <c r="M186" s="113">
        <f>_xlfn.XLOOKUP(G186,'Budget Worksheet'!$B$5:$B$234,'Budget Worksheet'!$N$5:$N$234,0)</f>
        <v>0</v>
      </c>
      <c r="N186" s="113">
        <f>_xlfn.XLOOKUP(G186,'Budget Worksheet'!$B$5:$B$234,'Budget Worksheet'!$P$5:$P$234,0)</f>
        <v>0</v>
      </c>
      <c r="O186" s="113">
        <f>_xlfn.XLOOKUP(G186,'Budget Worksheet'!$B$4:$B$234,'Budget Worksheet'!$S$4:$S$234,0)</f>
        <v>0</v>
      </c>
      <c r="P186" s="113">
        <f>_xlfn.XLOOKUP(G186,'Budget Worksheet'!$B$4:$B$234,'Budget Worksheet'!$U$4:$U$234,0)</f>
        <v>0</v>
      </c>
      <c r="Q186" s="107" t="e">
        <f>MATCH(G186,'Budget Worksheet'!$B$5:$B$234,0)</f>
        <v>#N/A</v>
      </c>
      <c r="R186" s="112">
        <f t="shared" si="9"/>
        <v>0</v>
      </c>
      <c r="S186" s="108"/>
    </row>
    <row r="187" spans="1:19" x14ac:dyDescent="0.25">
      <c r="A187" s="107">
        <v>178</v>
      </c>
      <c r="B187" s="105" t="s">
        <v>71</v>
      </c>
      <c r="C187" s="105" t="str">
        <f t="shared" si="10"/>
        <v>51</v>
      </c>
      <c r="D187" s="105">
        <v>28510</v>
      </c>
      <c r="E187" s="106" t="s">
        <v>1042</v>
      </c>
      <c r="F187" s="107" t="str">
        <f t="shared" si="15"/>
        <v>28510 Notes Payable - Non Current</v>
      </c>
      <c r="G187" s="105" t="s">
        <v>562</v>
      </c>
      <c r="H187" s="107" t="s">
        <v>563</v>
      </c>
      <c r="I187" s="112">
        <v>0</v>
      </c>
      <c r="J187" s="113">
        <f>SUMIFS('Budget Worksheet'!$J$5:$J$234,'Budget Worksheet'!$B$5:$B$234,'Master Budget'!G187)</f>
        <v>0</v>
      </c>
      <c r="K187" s="113"/>
      <c r="L187" s="113">
        <f>SUMIFS('Budget Worksheet'!$L$5:$L$234,'Budget Worksheet'!$B$5:$B$234,'Master Budget'!G187)</f>
        <v>0</v>
      </c>
      <c r="M187" s="113">
        <f>_xlfn.XLOOKUP(G187,'Budget Worksheet'!$B$5:$B$234,'Budget Worksheet'!$N$5:$N$234,0)</f>
        <v>0</v>
      </c>
      <c r="N187" s="113">
        <f>_xlfn.XLOOKUP(G187,'Budget Worksheet'!$B$5:$B$234,'Budget Worksheet'!$P$5:$P$234,0)</f>
        <v>0</v>
      </c>
      <c r="O187" s="113">
        <f>_xlfn.XLOOKUP(G187,'Budget Worksheet'!$B$4:$B$234,'Budget Worksheet'!$S$4:$S$234,0)</f>
        <v>0</v>
      </c>
      <c r="P187" s="113">
        <f>_xlfn.XLOOKUP(G187,'Budget Worksheet'!$B$4:$B$234,'Budget Worksheet'!$U$4:$U$234,0)</f>
        <v>0</v>
      </c>
      <c r="Q187" s="107" t="e">
        <f>MATCH(G187,'Budget Worksheet'!$B$5:$B$234,0)</f>
        <v>#N/A</v>
      </c>
      <c r="R187" s="112">
        <f t="shared" si="9"/>
        <v>0</v>
      </c>
      <c r="S187" s="108"/>
    </row>
    <row r="188" spans="1:19" x14ac:dyDescent="0.25">
      <c r="A188" s="107">
        <v>179</v>
      </c>
      <c r="B188" s="105" t="s">
        <v>71</v>
      </c>
      <c r="C188" s="105" t="str">
        <f t="shared" si="10"/>
        <v>51</v>
      </c>
      <c r="D188" s="105">
        <v>0</v>
      </c>
      <c r="E188" s="106" t="e">
        <v>#N/A</v>
      </c>
      <c r="F188" s="107" t="e">
        <f t="shared" si="15"/>
        <v>#N/A</v>
      </c>
      <c r="G188" s="105" t="s">
        <v>564</v>
      </c>
      <c r="H188" s="107" t="s">
        <v>231</v>
      </c>
      <c r="I188" s="112">
        <v>0</v>
      </c>
      <c r="J188" s="113">
        <f>SUMIFS('Budget Worksheet'!$J$5:$J$234,'Budget Worksheet'!$B$5:$B$234,'Master Budget'!G188)</f>
        <v>0</v>
      </c>
      <c r="K188" s="113"/>
      <c r="L188" s="113">
        <f>SUMIFS('Budget Worksheet'!$L$5:$L$234,'Budget Worksheet'!$B$5:$B$234,'Master Budget'!G188)</f>
        <v>0</v>
      </c>
      <c r="M188" s="113">
        <f>_xlfn.XLOOKUP(G188,'Budget Worksheet'!$B$5:$B$234,'Budget Worksheet'!$N$5:$N$234,0)</f>
        <v>0</v>
      </c>
      <c r="N188" s="113">
        <f>_xlfn.XLOOKUP(G188,'Budget Worksheet'!$B$5:$B$234,'Budget Worksheet'!$P$5:$P$234,0)</f>
        <v>0</v>
      </c>
      <c r="O188" s="113">
        <f>_xlfn.XLOOKUP(G188,'Budget Worksheet'!$B$4:$B$234,'Budget Worksheet'!$S$4:$S$234,0)</f>
        <v>0</v>
      </c>
      <c r="P188" s="113">
        <f>_xlfn.XLOOKUP(G188,'Budget Worksheet'!$B$4:$B$234,'Budget Worksheet'!$U$4:$U$234,0)</f>
        <v>0</v>
      </c>
      <c r="Q188" s="107" t="e">
        <f>MATCH(G188,'Budget Worksheet'!$B$5:$B$234,0)</f>
        <v>#N/A</v>
      </c>
      <c r="R188" s="112">
        <f t="shared" si="9"/>
        <v>0</v>
      </c>
      <c r="S188" s="108"/>
    </row>
    <row r="189" spans="1:19" x14ac:dyDescent="0.25">
      <c r="A189" s="107">
        <v>180</v>
      </c>
      <c r="B189" s="105" t="s">
        <v>71</v>
      </c>
      <c r="C189" s="105" t="str">
        <f t="shared" si="10"/>
        <v>51</v>
      </c>
      <c r="D189" s="105">
        <v>28521</v>
      </c>
      <c r="E189" s="106" t="s">
        <v>1045</v>
      </c>
      <c r="F189" s="107" t="str">
        <f t="shared" si="15"/>
        <v>28521 Capital Leases Payable - Current</v>
      </c>
      <c r="G189" s="105" t="s">
        <v>565</v>
      </c>
      <c r="H189" s="107" t="s">
        <v>235</v>
      </c>
      <c r="I189" s="112">
        <v>0</v>
      </c>
      <c r="J189" s="113">
        <f>SUMIFS('Budget Worksheet'!$J$5:$J$234,'Budget Worksheet'!$B$5:$B$234,'Master Budget'!G189)</f>
        <v>0</v>
      </c>
      <c r="K189" s="113"/>
      <c r="L189" s="113">
        <f>SUMIFS('Budget Worksheet'!$L$5:$L$234,'Budget Worksheet'!$B$5:$B$234,'Master Budget'!G189)</f>
        <v>0</v>
      </c>
      <c r="M189" s="113">
        <f>_xlfn.XLOOKUP(G189,'Budget Worksheet'!$B$5:$B$234,'Budget Worksheet'!$N$5:$N$234,0)</f>
        <v>0</v>
      </c>
      <c r="N189" s="113">
        <f>_xlfn.XLOOKUP(G189,'Budget Worksheet'!$B$5:$B$234,'Budget Worksheet'!$P$5:$P$234,0)</f>
        <v>0</v>
      </c>
      <c r="O189" s="113">
        <f>_xlfn.XLOOKUP(G189,'Budget Worksheet'!$B$4:$B$234,'Budget Worksheet'!$S$4:$S$234,0)</f>
        <v>0</v>
      </c>
      <c r="P189" s="113">
        <f>_xlfn.XLOOKUP(G189,'Budget Worksheet'!$B$4:$B$234,'Budget Worksheet'!$U$4:$U$234,0)</f>
        <v>0</v>
      </c>
      <c r="Q189" s="107" t="e">
        <f>MATCH(G189,'Budget Worksheet'!$B$5:$B$234,0)</f>
        <v>#N/A</v>
      </c>
      <c r="R189" s="112">
        <f t="shared" si="9"/>
        <v>0</v>
      </c>
      <c r="S189" s="108"/>
    </row>
    <row r="190" spans="1:19" x14ac:dyDescent="0.25">
      <c r="A190" s="107">
        <v>181</v>
      </c>
      <c r="B190" s="105" t="s">
        <v>71</v>
      </c>
      <c r="C190" s="105" t="str">
        <f t="shared" si="10"/>
        <v>51</v>
      </c>
      <c r="D190" s="105">
        <v>28540</v>
      </c>
      <c r="E190" s="106" t="s">
        <v>1046</v>
      </c>
      <c r="F190" s="107" t="str">
        <f t="shared" si="15"/>
        <v>28540 Bonds Payable - Non Current</v>
      </c>
      <c r="G190" s="105" t="s">
        <v>566</v>
      </c>
      <c r="H190" s="107" t="s">
        <v>1077</v>
      </c>
      <c r="I190" s="112">
        <v>0</v>
      </c>
      <c r="J190" s="113">
        <f>SUMIFS('Budget Worksheet'!$J$5:$J$234,'Budget Worksheet'!$B$5:$B$234,'Master Budget'!G190)</f>
        <v>0</v>
      </c>
      <c r="K190" s="113"/>
      <c r="L190" s="113">
        <f>SUMIFS('Budget Worksheet'!$L$5:$L$234,'Budget Worksheet'!$B$5:$B$234,'Master Budget'!G190)</f>
        <v>0</v>
      </c>
      <c r="M190" s="113">
        <f>_xlfn.XLOOKUP(G190,'Budget Worksheet'!$B$5:$B$234,'Budget Worksheet'!$N$5:$N$234,0)</f>
        <v>0</v>
      </c>
      <c r="N190" s="113">
        <f>_xlfn.XLOOKUP(G190,'Budget Worksheet'!$B$5:$B$234,'Budget Worksheet'!$P$5:$P$234,0)</f>
        <v>0</v>
      </c>
      <c r="O190" s="113">
        <f>_xlfn.XLOOKUP(G190,'Budget Worksheet'!$B$4:$B$234,'Budget Worksheet'!$S$4:$S$234,0)</f>
        <v>0</v>
      </c>
      <c r="P190" s="113">
        <f>_xlfn.XLOOKUP(G190,'Budget Worksheet'!$B$4:$B$234,'Budget Worksheet'!$U$4:$U$234,0)</f>
        <v>0</v>
      </c>
      <c r="Q190" s="107" t="e">
        <f>MATCH(G190,'Budget Worksheet'!$B$5:$B$234,0)</f>
        <v>#N/A</v>
      </c>
      <c r="R190" s="112">
        <f t="shared" si="9"/>
        <v>0</v>
      </c>
      <c r="S190" s="108"/>
    </row>
    <row r="191" spans="1:19" x14ac:dyDescent="0.25">
      <c r="A191" s="107">
        <v>182</v>
      </c>
      <c r="B191" s="105" t="s">
        <v>71</v>
      </c>
      <c r="C191" s="105" t="str">
        <f t="shared" si="10"/>
        <v>51</v>
      </c>
      <c r="D191" s="105">
        <v>28541</v>
      </c>
      <c r="E191" s="106" t="s">
        <v>1048</v>
      </c>
      <c r="F191" s="107" t="str">
        <f t="shared" si="15"/>
        <v>28541 Bonds Payable - Current</v>
      </c>
      <c r="G191" s="105" t="s">
        <v>568</v>
      </c>
      <c r="H191" s="107" t="s">
        <v>569</v>
      </c>
      <c r="I191" s="112">
        <v>0</v>
      </c>
      <c r="J191" s="113">
        <f>SUMIFS('Budget Worksheet'!$J$5:$J$234,'Budget Worksheet'!$B$5:$B$234,'Master Budget'!G191)</f>
        <v>0</v>
      </c>
      <c r="K191" s="113"/>
      <c r="L191" s="113">
        <f>SUMIFS('Budget Worksheet'!$L$5:$L$234,'Budget Worksheet'!$B$5:$B$234,'Master Budget'!G191)</f>
        <v>0</v>
      </c>
      <c r="M191" s="113">
        <f>_xlfn.XLOOKUP(G191,'Budget Worksheet'!$B$5:$B$234,'Budget Worksheet'!$N$5:$N$234,0)</f>
        <v>0</v>
      </c>
      <c r="N191" s="113">
        <f>_xlfn.XLOOKUP(G191,'Budget Worksheet'!$B$5:$B$234,'Budget Worksheet'!$P$5:$P$234,0)</f>
        <v>0</v>
      </c>
      <c r="O191" s="113">
        <f>_xlfn.XLOOKUP(G191,'Budget Worksheet'!$B$4:$B$234,'Budget Worksheet'!$S$4:$S$234,0)</f>
        <v>0</v>
      </c>
      <c r="P191" s="113">
        <f>_xlfn.XLOOKUP(G191,'Budget Worksheet'!$B$4:$B$234,'Budget Worksheet'!$U$4:$U$234,0)</f>
        <v>0</v>
      </c>
      <c r="Q191" s="107" t="e">
        <f>MATCH(G191,'Budget Worksheet'!$B$5:$B$234,0)</f>
        <v>#N/A</v>
      </c>
      <c r="R191" s="112">
        <f t="shared" si="9"/>
        <v>0</v>
      </c>
      <c r="S191" s="108"/>
    </row>
    <row r="192" spans="1:19" x14ac:dyDescent="0.25">
      <c r="A192" s="107">
        <v>183</v>
      </c>
      <c r="B192" s="105" t="s">
        <v>71</v>
      </c>
      <c r="C192" s="105" t="str">
        <f t="shared" si="10"/>
        <v>51</v>
      </c>
      <c r="D192" s="105">
        <v>28521</v>
      </c>
      <c r="E192" s="106" t="s">
        <v>1045</v>
      </c>
      <c r="F192" s="107" t="str">
        <f t="shared" si="15"/>
        <v>28521 Capital Leases Payable - Current</v>
      </c>
      <c r="G192" s="105" t="s">
        <v>570</v>
      </c>
      <c r="H192" s="107" t="s">
        <v>237</v>
      </c>
      <c r="I192" s="112">
        <v>0</v>
      </c>
      <c r="J192" s="113">
        <f>SUMIFS('Budget Worksheet'!$J$5:$J$234,'Budget Worksheet'!$B$5:$B$234,'Master Budget'!G192)</f>
        <v>0</v>
      </c>
      <c r="K192" s="113"/>
      <c r="L192" s="113">
        <f>SUMIFS('Budget Worksheet'!$L$5:$L$234,'Budget Worksheet'!$B$5:$B$234,'Master Budget'!G192)</f>
        <v>0</v>
      </c>
      <c r="M192" s="113">
        <f>_xlfn.XLOOKUP(G192,'Budget Worksheet'!$B$5:$B$234,'Budget Worksheet'!$N$5:$N$234,0)</f>
        <v>0</v>
      </c>
      <c r="N192" s="113">
        <f>_xlfn.XLOOKUP(G192,'Budget Worksheet'!$B$5:$B$234,'Budget Worksheet'!$P$5:$P$234,0)</f>
        <v>0</v>
      </c>
      <c r="O192" s="113">
        <f>_xlfn.XLOOKUP(G192,'Budget Worksheet'!$B$4:$B$234,'Budget Worksheet'!$S$4:$S$234,0)</f>
        <v>0</v>
      </c>
      <c r="P192" s="113">
        <f>_xlfn.XLOOKUP(G192,'Budget Worksheet'!$B$4:$B$234,'Budget Worksheet'!$U$4:$U$234,0)</f>
        <v>0</v>
      </c>
      <c r="Q192" s="107" t="e">
        <f>MATCH(G192,'Budget Worksheet'!$B$5:$B$234,0)</f>
        <v>#N/A</v>
      </c>
      <c r="R192" s="112">
        <f t="shared" si="9"/>
        <v>0</v>
      </c>
      <c r="S192" s="108"/>
    </row>
    <row r="193" spans="1:19" x14ac:dyDescent="0.25">
      <c r="A193" s="107">
        <v>184</v>
      </c>
      <c r="B193" s="105" t="s">
        <v>71</v>
      </c>
      <c r="C193" s="105" t="str">
        <f t="shared" si="10"/>
        <v>51</v>
      </c>
      <c r="D193" s="105">
        <v>28520</v>
      </c>
      <c r="E193" s="106" t="s">
        <v>1044</v>
      </c>
      <c r="F193" s="107" t="str">
        <f t="shared" si="15"/>
        <v>28520 Capital Leases Payable  - Non Current</v>
      </c>
      <c r="G193" s="105" t="s">
        <v>574</v>
      </c>
      <c r="H193" s="107" t="s">
        <v>462</v>
      </c>
      <c r="I193" s="112">
        <v>0</v>
      </c>
      <c r="J193" s="113">
        <f>SUMIFS('Budget Worksheet'!$J$5:$J$234,'Budget Worksheet'!$B$5:$B$234,'Master Budget'!G193)</f>
        <v>0</v>
      </c>
      <c r="K193" s="113"/>
      <c r="L193" s="113">
        <f>SUMIFS('Budget Worksheet'!$L$5:$L$234,'Budget Worksheet'!$B$5:$B$234,'Master Budget'!G193)</f>
        <v>0</v>
      </c>
      <c r="M193" s="113">
        <f>_xlfn.XLOOKUP(G193,'Budget Worksheet'!$B$5:$B$234,'Budget Worksheet'!$N$5:$N$234,0)</f>
        <v>0</v>
      </c>
      <c r="N193" s="113">
        <f>_xlfn.XLOOKUP(G193,'Budget Worksheet'!$B$5:$B$234,'Budget Worksheet'!$P$5:$P$234,0)</f>
        <v>0</v>
      </c>
      <c r="O193" s="113">
        <f>_xlfn.XLOOKUP(G193,'Budget Worksheet'!$B$4:$B$234,'Budget Worksheet'!$S$4:$S$234,0)</f>
        <v>0</v>
      </c>
      <c r="P193" s="113">
        <f>_xlfn.XLOOKUP(G193,'Budget Worksheet'!$B$4:$B$234,'Budget Worksheet'!$U$4:$U$234,0)</f>
        <v>0</v>
      </c>
      <c r="Q193" s="107" t="e">
        <f>MATCH(G193,'Budget Worksheet'!$B$5:$B$234,0)</f>
        <v>#N/A</v>
      </c>
      <c r="R193" s="112">
        <f t="shared" si="9"/>
        <v>0</v>
      </c>
      <c r="S193" s="108"/>
    </row>
    <row r="194" spans="1:19" x14ac:dyDescent="0.25">
      <c r="A194" s="107">
        <v>185</v>
      </c>
      <c r="B194" s="105" t="s">
        <v>1049</v>
      </c>
      <c r="C194" s="105" t="str">
        <f t="shared" si="10"/>
        <v>51</v>
      </c>
      <c r="D194" s="105">
        <v>29100</v>
      </c>
      <c r="E194" s="106" t="s">
        <v>1050</v>
      </c>
      <c r="F194" s="107" t="str">
        <f t="shared" si="15"/>
        <v>29100 Unrestricted</v>
      </c>
      <c r="G194" s="105" t="s">
        <v>577</v>
      </c>
      <c r="H194" s="107" t="s">
        <v>246</v>
      </c>
      <c r="I194" s="112">
        <v>0</v>
      </c>
      <c r="J194" s="113">
        <f>SUMIFS('Budget Worksheet'!$J$5:$J$234,'Budget Worksheet'!$B$5:$B$234,'Master Budget'!G194)</f>
        <v>0</v>
      </c>
      <c r="K194" s="113"/>
      <c r="L194" s="113">
        <f>SUMIFS('Budget Worksheet'!$L$5:$L$234,'Budget Worksheet'!$B$5:$B$234,'Master Budget'!G194)</f>
        <v>0</v>
      </c>
      <c r="M194" s="113">
        <f>_xlfn.XLOOKUP(G194,'Budget Worksheet'!$B$5:$B$234,'Budget Worksheet'!$N$5:$N$234,0)</f>
        <v>0</v>
      </c>
      <c r="N194" s="113">
        <f>_xlfn.XLOOKUP(G194,'Budget Worksheet'!$B$5:$B$234,'Budget Worksheet'!$P$5:$P$234,0)</f>
        <v>0</v>
      </c>
      <c r="O194" s="113">
        <f>_xlfn.XLOOKUP(G194,'Budget Worksheet'!$B$4:$B$234,'Budget Worksheet'!$S$4:$S$234,0)</f>
        <v>0</v>
      </c>
      <c r="P194" s="113">
        <f>_xlfn.XLOOKUP(G194,'Budget Worksheet'!$B$4:$B$234,'Budget Worksheet'!$U$4:$U$234,0)</f>
        <v>0</v>
      </c>
      <c r="Q194" s="107" t="e">
        <f>MATCH(G194,'Budget Worksheet'!$B$5:$B$234,0)</f>
        <v>#N/A</v>
      </c>
      <c r="R194" s="112">
        <f t="shared" si="9"/>
        <v>0</v>
      </c>
      <c r="S194" s="108"/>
    </row>
    <row r="195" spans="1:19" x14ac:dyDescent="0.25">
      <c r="A195" s="107">
        <v>186</v>
      </c>
      <c r="B195" s="105" t="s">
        <v>97</v>
      </c>
      <c r="C195" s="105" t="str">
        <f t="shared" si="10"/>
        <v>51</v>
      </c>
      <c r="D195" s="105">
        <v>70</v>
      </c>
      <c r="E195" s="106" t="s">
        <v>20</v>
      </c>
      <c r="F195" s="107" t="str">
        <f t="shared" si="15"/>
        <v>70 Grant revenue</v>
      </c>
      <c r="G195" s="105" t="s">
        <v>578</v>
      </c>
      <c r="H195" s="107" t="s">
        <v>982</v>
      </c>
      <c r="I195" s="112">
        <v>-3700000</v>
      </c>
      <c r="J195" s="113">
        <f>SUMIFS('Budget Worksheet'!$J$5:$J$234,'Budget Worksheet'!$B$5:$B$234,'Master Budget'!G195)</f>
        <v>-3700000</v>
      </c>
      <c r="K195" s="113">
        <f>_xlfn.XLOOKUP(G195,'Budget Worksheet'!$B$5:$B$234,'Budget Worksheet'!$G$5:$G$234,0)</f>
        <v>-43712.142857142855</v>
      </c>
      <c r="L195" s="113">
        <f>SUMIFS('Budget Worksheet'!$L$5:$L$234,'Budget Worksheet'!$B$5:$B$234,'Master Budget'!G195)</f>
        <v>-3700000</v>
      </c>
      <c r="M195" s="113">
        <f>_xlfn.XLOOKUP(G195,'Budget Worksheet'!$B$5:$B$234,'Budget Worksheet'!$N$5:$N$234,0)</f>
        <v>-3700000</v>
      </c>
      <c r="N195" s="113">
        <f>_xlfn.XLOOKUP(G195,'Budget Worksheet'!$B$5:$B$234,'Budget Worksheet'!$P$5:$P$234,0)</f>
        <v>-3700000</v>
      </c>
      <c r="O195" s="113">
        <f>_xlfn.XLOOKUP(G195,'Budget Worksheet'!$B$4:$B$234,'Budget Worksheet'!$S$4:$S$234,0)</f>
        <v>0</v>
      </c>
      <c r="P195" s="113">
        <f>_xlfn.XLOOKUP(G195,'Budget Worksheet'!$B$4:$B$234,'Budget Worksheet'!$U$4:$U$234,0)</f>
        <v>-1400000</v>
      </c>
      <c r="Q195" s="107">
        <f>MATCH(G195,'Budget Worksheet'!$B$5:$B$234,0)</f>
        <v>86</v>
      </c>
      <c r="R195" s="112">
        <f t="shared" si="9"/>
        <v>-18543712.142857142</v>
      </c>
      <c r="S195" s="108"/>
    </row>
    <row r="196" spans="1:19" x14ac:dyDescent="0.25">
      <c r="A196" s="107">
        <v>187</v>
      </c>
      <c r="B196" s="105" t="s">
        <v>97</v>
      </c>
      <c r="C196" s="105" t="str">
        <f t="shared" si="10"/>
        <v>51</v>
      </c>
      <c r="D196" s="105">
        <v>30</v>
      </c>
      <c r="E196" s="106" t="s">
        <v>6</v>
      </c>
      <c r="F196" s="107" t="str">
        <f t="shared" si="15"/>
        <v>30 Charges for services</v>
      </c>
      <c r="G196" s="105" t="s">
        <v>580</v>
      </c>
      <c r="H196" s="107" t="s">
        <v>581</v>
      </c>
      <c r="I196" s="112">
        <v>-390000</v>
      </c>
      <c r="J196" s="113">
        <f>SUMIFS('Budget Worksheet'!$J$5:$J$234,'Budget Worksheet'!$B$5:$B$234,'Master Budget'!G196)</f>
        <v>-390000</v>
      </c>
      <c r="K196" s="113">
        <f>_xlfn.XLOOKUP(G196,'Budget Worksheet'!$B$5:$B$234,'Budget Worksheet'!$G$5:$G$234,0)</f>
        <v>-505152.77142857143</v>
      </c>
      <c r="L196" s="113">
        <f>SUMIFS('Budget Worksheet'!$L$5:$L$234,'Budget Worksheet'!$B$5:$B$234,'Master Budget'!G196)</f>
        <v>-390000</v>
      </c>
      <c r="M196" s="113">
        <f>_xlfn.XLOOKUP(G196,'Budget Worksheet'!$B$5:$B$234,'Budget Worksheet'!$N$5:$N$234,0)</f>
        <v>-390000</v>
      </c>
      <c r="N196" s="113">
        <f>_xlfn.XLOOKUP(G196,'Budget Worksheet'!$B$5:$B$234,'Budget Worksheet'!$P$5:$P$234,0)</f>
        <v>-390000</v>
      </c>
      <c r="O196" s="113">
        <f>_xlfn.XLOOKUP(G196,'Budget Worksheet'!$B$4:$B$234,'Budget Worksheet'!$S$4:$S$234,0)</f>
        <v>-390000</v>
      </c>
      <c r="P196" s="113">
        <f>_xlfn.XLOOKUP(G196,'Budget Worksheet'!$B$4:$B$234,'Budget Worksheet'!$U$4:$U$234,0)</f>
        <v>-390000</v>
      </c>
      <c r="Q196" s="107">
        <f>MATCH(G196,'Budget Worksheet'!$B$5:$B$234,0)</f>
        <v>87</v>
      </c>
      <c r="R196" s="112">
        <f t="shared" si="9"/>
        <v>-2455152.7714285715</v>
      </c>
      <c r="S196" s="108"/>
    </row>
    <row r="197" spans="1:19" x14ac:dyDescent="0.25">
      <c r="A197" s="107">
        <v>188</v>
      </c>
      <c r="B197" s="105" t="s">
        <v>97</v>
      </c>
      <c r="C197" s="105" t="str">
        <f t="shared" si="10"/>
        <v>51</v>
      </c>
      <c r="D197" s="105">
        <v>30</v>
      </c>
      <c r="E197" s="106" t="s">
        <v>6</v>
      </c>
      <c r="F197" s="107" t="str">
        <f t="shared" si="15"/>
        <v>30 Charges for services</v>
      </c>
      <c r="G197" s="105" t="s">
        <v>582</v>
      </c>
      <c r="H197" s="107" t="s">
        <v>583</v>
      </c>
      <c r="I197" s="112">
        <v>0</v>
      </c>
      <c r="J197" s="113">
        <f>SUMIFS('Budget Worksheet'!$J$5:$J$234,'Budget Worksheet'!$B$5:$B$234,'Master Budget'!G197)</f>
        <v>-30</v>
      </c>
      <c r="K197" s="113">
        <f>_xlfn.XLOOKUP(G197,'Budget Worksheet'!$B$5:$B$234,'Budget Worksheet'!$G$5:$G$234,0)</f>
        <v>0</v>
      </c>
      <c r="L197" s="113">
        <f>SUMIFS('Budget Worksheet'!$L$5:$L$234,'Budget Worksheet'!$B$5:$B$234,'Master Budget'!G197)</f>
        <v>-30</v>
      </c>
      <c r="M197" s="113">
        <f>_xlfn.XLOOKUP(G197,'Budget Worksheet'!$B$5:$B$234,'Budget Worksheet'!$N$5:$N$234,0)</f>
        <v>-30</v>
      </c>
      <c r="N197" s="113">
        <f>_xlfn.XLOOKUP(G197,'Budget Worksheet'!$B$5:$B$234,'Budget Worksheet'!$P$5:$P$234,0)</f>
        <v>-30</v>
      </c>
      <c r="O197" s="113">
        <f>_xlfn.XLOOKUP(G197,'Budget Worksheet'!$B$4:$B$234,'Budget Worksheet'!$S$4:$S$234,0)</f>
        <v>-30</v>
      </c>
      <c r="P197" s="113">
        <f>_xlfn.XLOOKUP(G197,'Budget Worksheet'!$B$4:$B$234,'Budget Worksheet'!$U$4:$U$234,0)</f>
        <v>-30</v>
      </c>
      <c r="Q197" s="107">
        <f>MATCH(G197,'Budget Worksheet'!$B$5:$B$234,0)</f>
        <v>88</v>
      </c>
      <c r="R197" s="112">
        <f t="shared" si="9"/>
        <v>-120</v>
      </c>
      <c r="S197" s="108"/>
    </row>
    <row r="198" spans="1:19" x14ac:dyDescent="0.25">
      <c r="A198" s="107">
        <v>189</v>
      </c>
      <c r="B198" s="105" t="s">
        <v>97</v>
      </c>
      <c r="C198" s="105" t="str">
        <f t="shared" si="10"/>
        <v>51</v>
      </c>
      <c r="D198" s="105">
        <v>30</v>
      </c>
      <c r="E198" s="106" t="s">
        <v>6</v>
      </c>
      <c r="F198" s="107" t="str">
        <f t="shared" si="15"/>
        <v>30 Charges for services</v>
      </c>
      <c r="G198" s="105" t="s">
        <v>584</v>
      </c>
      <c r="H198" s="107" t="s">
        <v>585</v>
      </c>
      <c r="I198" s="112">
        <v>-8580</v>
      </c>
      <c r="J198" s="113">
        <f>SUMIFS('Budget Worksheet'!$J$5:$J$234,'Budget Worksheet'!$B$5:$B$234,'Master Budget'!G198)</f>
        <v>-8580</v>
      </c>
      <c r="K198" s="113">
        <f>_xlfn.XLOOKUP(G198,'Budget Worksheet'!$B$5:$B$234,'Budget Worksheet'!$G$5:$G$234,0)</f>
        <v>-11228.588571428572</v>
      </c>
      <c r="L198" s="113">
        <f>SUMIFS('Budget Worksheet'!$L$5:$L$234,'Budget Worksheet'!$B$5:$B$234,'Master Budget'!G198)</f>
        <v>-8580</v>
      </c>
      <c r="M198" s="113">
        <f>_xlfn.XLOOKUP(G198,'Budget Worksheet'!$B$5:$B$234,'Budget Worksheet'!$N$5:$N$234,0)</f>
        <v>-8580</v>
      </c>
      <c r="N198" s="113">
        <f>_xlfn.XLOOKUP(G198,'Budget Worksheet'!$B$5:$B$234,'Budget Worksheet'!$P$5:$P$234,0)</f>
        <v>-8580</v>
      </c>
      <c r="O198" s="113">
        <f>_xlfn.XLOOKUP(G198,'Budget Worksheet'!$B$4:$B$234,'Budget Worksheet'!$S$4:$S$234,0)</f>
        <v>-8580</v>
      </c>
      <c r="P198" s="113">
        <f>_xlfn.XLOOKUP(G198,'Budget Worksheet'!$B$4:$B$234,'Budget Worksheet'!$U$4:$U$234,0)</f>
        <v>-8580</v>
      </c>
      <c r="Q198" s="107">
        <f>MATCH(G198,'Budget Worksheet'!$B$5:$B$234,0)</f>
        <v>89</v>
      </c>
      <c r="R198" s="112">
        <f t="shared" si="9"/>
        <v>-54128.588571428569</v>
      </c>
      <c r="S198" s="108"/>
    </row>
    <row r="199" spans="1:19" x14ac:dyDescent="0.25">
      <c r="A199" s="107">
        <v>190</v>
      </c>
      <c r="B199" s="105" t="s">
        <v>97</v>
      </c>
      <c r="C199" s="105" t="str">
        <f t="shared" si="10"/>
        <v>51</v>
      </c>
      <c r="D199" s="105">
        <v>30</v>
      </c>
      <c r="E199" s="106" t="s">
        <v>6</v>
      </c>
      <c r="F199" s="107" t="str">
        <f t="shared" si="15"/>
        <v>30 Charges for services</v>
      </c>
      <c r="G199" s="105" t="s">
        <v>586</v>
      </c>
      <c r="H199" s="107" t="s">
        <v>587</v>
      </c>
      <c r="I199" s="112">
        <v>-350000</v>
      </c>
      <c r="J199" s="113">
        <f>SUMIFS('Budget Worksheet'!$J$5:$J$234,'Budget Worksheet'!$B$5:$B$234,'Master Budget'!G199)</f>
        <v>-350000</v>
      </c>
      <c r="K199" s="113">
        <f>_xlfn.XLOOKUP(G199,'Budget Worksheet'!$B$5:$B$234,'Budget Worksheet'!$G$5:$G$234,0)</f>
        <v>-519269.43428571423</v>
      </c>
      <c r="L199" s="113">
        <f>SUMIFS('Budget Worksheet'!$L$5:$L$234,'Budget Worksheet'!$B$5:$B$234,'Master Budget'!G199)</f>
        <v>-350000</v>
      </c>
      <c r="M199" s="113">
        <f>_xlfn.XLOOKUP(G199,'Budget Worksheet'!$B$5:$B$234,'Budget Worksheet'!$N$5:$N$234,0)</f>
        <v>-350000</v>
      </c>
      <c r="N199" s="113">
        <f>_xlfn.XLOOKUP(G199,'Budget Worksheet'!$B$5:$B$234,'Budget Worksheet'!$P$5:$P$234,0)</f>
        <v>-350000</v>
      </c>
      <c r="O199" s="113">
        <f>_xlfn.XLOOKUP(G199,'Budget Worksheet'!$B$4:$B$234,'Budget Worksheet'!$S$4:$S$234,0)</f>
        <v>-350000</v>
      </c>
      <c r="P199" s="113">
        <f>_xlfn.XLOOKUP(G199,'Budget Worksheet'!$B$4:$B$234,'Budget Worksheet'!$U$4:$U$234,0)</f>
        <v>-350000</v>
      </c>
      <c r="Q199" s="107">
        <f>MATCH(G199,'Budget Worksheet'!$B$5:$B$234,0)</f>
        <v>90</v>
      </c>
      <c r="R199" s="112">
        <f t="shared" ref="R199:R262" si="16">SUM(I199:N199)</f>
        <v>-2269269.4342857143</v>
      </c>
      <c r="S199" s="108"/>
    </row>
    <row r="200" spans="1:19" x14ac:dyDescent="0.25">
      <c r="A200" s="107">
        <v>191</v>
      </c>
      <c r="B200" s="105" t="s">
        <v>97</v>
      </c>
      <c r="C200" s="105" t="str">
        <f t="shared" ref="C200:C263" si="17">LEFT(G200,2)</f>
        <v>51</v>
      </c>
      <c r="D200" s="105">
        <v>30</v>
      </c>
      <c r="E200" s="106" t="s">
        <v>6</v>
      </c>
      <c r="F200" s="107" t="str">
        <f t="shared" si="15"/>
        <v>30 Charges for services</v>
      </c>
      <c r="G200" s="105" t="s">
        <v>588</v>
      </c>
      <c r="H200" s="107" t="s">
        <v>589</v>
      </c>
      <c r="I200" s="112">
        <v>0</v>
      </c>
      <c r="J200" s="113">
        <f>SUMIFS('Budget Worksheet'!$J$5:$J$234,'Budget Worksheet'!$B$5:$B$234,'Master Budget'!G200)</f>
        <v>0</v>
      </c>
      <c r="K200" s="113"/>
      <c r="L200" s="113">
        <f>SUMIFS('Budget Worksheet'!$L$5:$L$234,'Budget Worksheet'!$B$5:$B$234,'Master Budget'!G200)</f>
        <v>0</v>
      </c>
      <c r="M200" s="113">
        <f>_xlfn.XLOOKUP(G200,'Budget Worksheet'!$B$5:$B$234,'Budget Worksheet'!$N$5:$N$234,0)</f>
        <v>0</v>
      </c>
      <c r="N200" s="113">
        <f>_xlfn.XLOOKUP(G200,'Budget Worksheet'!$B$5:$B$234,'Budget Worksheet'!$P$5:$P$234,0)</f>
        <v>0</v>
      </c>
      <c r="O200" s="113">
        <f>_xlfn.XLOOKUP(G200,'Budget Worksheet'!$B$4:$B$234,'Budget Worksheet'!$S$4:$S$234,0)</f>
        <v>0</v>
      </c>
      <c r="P200" s="113">
        <f>_xlfn.XLOOKUP(G200,'Budget Worksheet'!$B$4:$B$234,'Budget Worksheet'!$U$4:$U$234,0)</f>
        <v>0</v>
      </c>
      <c r="Q200" s="107">
        <f>MATCH(G200,'Budget Worksheet'!$B$5:$B$234,0)</f>
        <v>91</v>
      </c>
      <c r="R200" s="112">
        <f t="shared" si="16"/>
        <v>0</v>
      </c>
      <c r="S200" s="108"/>
    </row>
    <row r="201" spans="1:19" x14ac:dyDescent="0.25">
      <c r="A201" s="107">
        <v>192</v>
      </c>
      <c r="B201" s="105" t="s">
        <v>97</v>
      </c>
      <c r="C201" s="105" t="str">
        <f t="shared" si="17"/>
        <v>51</v>
      </c>
      <c r="D201" s="105">
        <v>30</v>
      </c>
      <c r="E201" s="106" t="s">
        <v>6</v>
      </c>
      <c r="F201" s="107" t="str">
        <f t="shared" si="15"/>
        <v>30 Charges for services</v>
      </c>
      <c r="G201" s="105" t="s">
        <v>590</v>
      </c>
      <c r="H201" s="107" t="s">
        <v>591</v>
      </c>
      <c r="I201" s="112">
        <v>0</v>
      </c>
      <c r="J201" s="113">
        <f>SUMIFS('Budget Worksheet'!$J$5:$J$234,'Budget Worksheet'!$B$5:$B$234,'Master Budget'!G201)</f>
        <v>0</v>
      </c>
      <c r="K201" s="113"/>
      <c r="L201" s="113">
        <f>SUMIFS('Budget Worksheet'!$L$5:$L$234,'Budget Worksheet'!$B$5:$B$234,'Master Budget'!G201)</f>
        <v>0</v>
      </c>
      <c r="M201" s="113">
        <f>_xlfn.XLOOKUP(G201,'Budget Worksheet'!$B$5:$B$234,'Budget Worksheet'!$N$5:$N$234,0)</f>
        <v>0</v>
      </c>
      <c r="N201" s="113">
        <f>_xlfn.XLOOKUP(G201,'Budget Worksheet'!$B$5:$B$234,'Budget Worksheet'!$P$5:$P$234,0)</f>
        <v>0</v>
      </c>
      <c r="O201" s="113">
        <f>_xlfn.XLOOKUP(G201,'Budget Worksheet'!$B$4:$B$234,'Budget Worksheet'!$S$4:$S$234,0)</f>
        <v>0</v>
      </c>
      <c r="P201" s="113">
        <f>_xlfn.XLOOKUP(G201,'Budget Worksheet'!$B$4:$B$234,'Budget Worksheet'!$U$4:$U$234,0)</f>
        <v>0</v>
      </c>
      <c r="Q201" s="107">
        <f>MATCH(G201,'Budget Worksheet'!$B$5:$B$234,0)</f>
        <v>92</v>
      </c>
      <c r="R201" s="112">
        <f t="shared" si="16"/>
        <v>0</v>
      </c>
      <c r="S201" s="108"/>
    </row>
    <row r="202" spans="1:19" x14ac:dyDescent="0.25">
      <c r="A202" s="107">
        <v>193</v>
      </c>
      <c r="B202" s="105" t="s">
        <v>97</v>
      </c>
      <c r="C202" s="105" t="str">
        <f t="shared" si="17"/>
        <v>51</v>
      </c>
      <c r="D202" s="105">
        <v>30</v>
      </c>
      <c r="E202" s="106" t="s">
        <v>6</v>
      </c>
      <c r="F202" s="107" t="str">
        <f t="shared" si="15"/>
        <v>30 Charges for services</v>
      </c>
      <c r="G202" s="105" t="s">
        <v>592</v>
      </c>
      <c r="H202" s="107" t="s">
        <v>593</v>
      </c>
      <c r="I202" s="112">
        <v>0</v>
      </c>
      <c r="J202" s="113">
        <f>SUMIFS('Budget Worksheet'!$J$5:$J$234,'Budget Worksheet'!$B$5:$B$234,'Master Budget'!G202)</f>
        <v>0</v>
      </c>
      <c r="K202" s="113"/>
      <c r="L202" s="113">
        <f>SUMIFS('Budget Worksheet'!$L$5:$L$234,'Budget Worksheet'!$B$5:$B$234,'Master Budget'!G202)</f>
        <v>0</v>
      </c>
      <c r="M202" s="113">
        <f>_xlfn.XLOOKUP(G202,'Budget Worksheet'!$B$5:$B$234,'Budget Worksheet'!$N$5:$N$234,0)</f>
        <v>0</v>
      </c>
      <c r="N202" s="113">
        <f>_xlfn.XLOOKUP(G202,'Budget Worksheet'!$B$5:$B$234,'Budget Worksheet'!$P$5:$P$234,0)</f>
        <v>0</v>
      </c>
      <c r="O202" s="113">
        <f>_xlfn.XLOOKUP(G202,'Budget Worksheet'!$B$4:$B$234,'Budget Worksheet'!$S$4:$S$234,0)</f>
        <v>0</v>
      </c>
      <c r="P202" s="113">
        <f>_xlfn.XLOOKUP(G202,'Budget Worksheet'!$B$4:$B$234,'Budget Worksheet'!$U$4:$U$234,0)</f>
        <v>0</v>
      </c>
      <c r="Q202" s="107">
        <f>MATCH(G202,'Budget Worksheet'!$B$5:$B$234,0)</f>
        <v>93</v>
      </c>
      <c r="R202" s="112">
        <f t="shared" si="16"/>
        <v>0</v>
      </c>
      <c r="S202" s="108"/>
    </row>
    <row r="203" spans="1:19" x14ac:dyDescent="0.25">
      <c r="A203" s="107">
        <v>194</v>
      </c>
      <c r="B203" s="105" t="s">
        <v>97</v>
      </c>
      <c r="C203" s="105" t="str">
        <f t="shared" si="17"/>
        <v>51</v>
      </c>
      <c r="D203" s="105">
        <v>960</v>
      </c>
      <c r="E203" s="106" t="s">
        <v>19</v>
      </c>
      <c r="F203" s="107" t="str">
        <f t="shared" si="15"/>
        <v>960 Interest income</v>
      </c>
      <c r="G203" s="105" t="s">
        <v>594</v>
      </c>
      <c r="H203" s="107" t="s">
        <v>256</v>
      </c>
      <c r="I203" s="112">
        <v>0</v>
      </c>
      <c r="J203" s="113">
        <f>SUMIFS('Budget Worksheet'!$J$5:$J$234,'Budget Worksheet'!$B$5:$B$234,'Master Budget'!G203)</f>
        <v>0</v>
      </c>
      <c r="K203" s="113"/>
      <c r="L203" s="113">
        <f>SUMIFS('Budget Worksheet'!$L$5:$L$234,'Budget Worksheet'!$B$5:$B$234,'Master Budget'!G203)</f>
        <v>0</v>
      </c>
      <c r="M203" s="113">
        <f>_xlfn.XLOOKUP(G203,'Budget Worksheet'!$B$5:$B$234,'Budget Worksheet'!$N$5:$N$234,0)</f>
        <v>0</v>
      </c>
      <c r="N203" s="113">
        <f>_xlfn.XLOOKUP(G203,'Budget Worksheet'!$B$5:$B$234,'Budget Worksheet'!$P$5:$P$234,0)</f>
        <v>0</v>
      </c>
      <c r="O203" s="113">
        <f>_xlfn.XLOOKUP(G203,'Budget Worksheet'!$B$4:$B$234,'Budget Worksheet'!$S$4:$S$234,0)</f>
        <v>0</v>
      </c>
      <c r="P203" s="113">
        <f>_xlfn.XLOOKUP(G203,'Budget Worksheet'!$B$4:$B$234,'Budget Worksheet'!$U$4:$U$234,0)</f>
        <v>0</v>
      </c>
      <c r="Q203" s="107">
        <f>MATCH(G203,'Budget Worksheet'!$B$5:$B$234,0)</f>
        <v>94</v>
      </c>
      <c r="R203" s="112">
        <f t="shared" si="16"/>
        <v>0</v>
      </c>
      <c r="S203" s="108"/>
    </row>
    <row r="204" spans="1:19" x14ac:dyDescent="0.25">
      <c r="A204" s="107">
        <v>195</v>
      </c>
      <c r="B204" s="105" t="s">
        <v>97</v>
      </c>
      <c r="C204" s="105" t="str">
        <f t="shared" si="17"/>
        <v>51</v>
      </c>
      <c r="D204" s="105">
        <v>30</v>
      </c>
      <c r="E204" s="106" t="s">
        <v>6</v>
      </c>
      <c r="F204" s="107" t="str">
        <f t="shared" si="15"/>
        <v>30 Charges for services</v>
      </c>
      <c r="G204" s="105" t="s">
        <v>595</v>
      </c>
      <c r="H204" s="107" t="s">
        <v>99</v>
      </c>
      <c r="I204" s="112">
        <v>0</v>
      </c>
      <c r="J204" s="113">
        <f>SUMIFS('Budget Worksheet'!$J$5:$J$234,'Budget Worksheet'!$B$5:$B$234,'Master Budget'!G204)</f>
        <v>-4110</v>
      </c>
      <c r="K204" s="113">
        <f>_xlfn.XLOOKUP(G204,'Budget Worksheet'!$B$5:$B$234,'Budget Worksheet'!$G$5:$G$234,0)</f>
        <v>-90938.537142857153</v>
      </c>
      <c r="L204" s="113">
        <f>SUMIFS('Budget Worksheet'!$L$5:$L$234,'Budget Worksheet'!$B$5:$B$234,'Master Budget'!G204)</f>
        <v>-4110</v>
      </c>
      <c r="M204" s="113">
        <f>_xlfn.XLOOKUP(G204,'Budget Worksheet'!$B$5:$B$234,'Budget Worksheet'!$N$5:$N$234,0)</f>
        <v>-4110</v>
      </c>
      <c r="N204" s="113">
        <f>_xlfn.XLOOKUP(G204,'Budget Worksheet'!$B$5:$B$234,'Budget Worksheet'!$P$5:$P$234,0)</f>
        <v>-4110</v>
      </c>
      <c r="O204" s="113">
        <f>_xlfn.XLOOKUP(G204,'Budget Worksheet'!$B$4:$B$234,'Budget Worksheet'!$S$4:$S$234,0)</f>
        <v>-4110</v>
      </c>
      <c r="P204" s="113">
        <f>_xlfn.XLOOKUP(G204,'Budget Worksheet'!$B$4:$B$234,'Budget Worksheet'!$U$4:$U$234,0)</f>
        <v>-4110</v>
      </c>
      <c r="Q204" s="107">
        <f>MATCH(G204,'Budget Worksheet'!$B$5:$B$234,0)</f>
        <v>95</v>
      </c>
      <c r="R204" s="112">
        <f t="shared" si="16"/>
        <v>-107378.53714285715</v>
      </c>
      <c r="S204" s="108"/>
    </row>
    <row r="205" spans="1:19" x14ac:dyDescent="0.25">
      <c r="A205" s="107">
        <v>196</v>
      </c>
      <c r="B205" s="105" t="s">
        <v>97</v>
      </c>
      <c r="C205" s="105" t="str">
        <f t="shared" si="17"/>
        <v>51</v>
      </c>
      <c r="D205" s="105">
        <v>950</v>
      </c>
      <c r="E205" s="106" t="s">
        <v>17</v>
      </c>
      <c r="F205" s="107" t="str">
        <f t="shared" si="15"/>
        <v>950 Property Taxes</v>
      </c>
      <c r="G205" s="105" t="s">
        <v>596</v>
      </c>
      <c r="H205" s="107" t="s">
        <v>259</v>
      </c>
      <c r="I205" s="112">
        <v>-80000</v>
      </c>
      <c r="J205" s="113">
        <f>SUMIFS('Budget Worksheet'!$J$5:$J$234,'Budget Worksheet'!$B$5:$B$234,'Master Budget'!G205)</f>
        <v>-80000</v>
      </c>
      <c r="K205" s="113">
        <f>_xlfn.XLOOKUP(G205,'Budget Worksheet'!$B$5:$B$234,'Budget Worksheet'!$G$5:$G$234,0)</f>
        <v>-11832.137142857144</v>
      </c>
      <c r="L205" s="113">
        <f>SUMIFS('Budget Worksheet'!$L$5:$L$234,'Budget Worksheet'!$B$5:$B$234,'Master Budget'!G205)</f>
        <v>-80000</v>
      </c>
      <c r="M205" s="113">
        <f>_xlfn.XLOOKUP(G205,'Budget Worksheet'!$B$5:$B$234,'Budget Worksheet'!$N$5:$N$234,0)</f>
        <v>-80000</v>
      </c>
      <c r="N205" s="113">
        <f>_xlfn.XLOOKUP(G205,'Budget Worksheet'!$B$5:$B$234,'Budget Worksheet'!$P$5:$P$234,0)</f>
        <v>-80000</v>
      </c>
      <c r="O205" s="113">
        <f>_xlfn.XLOOKUP(G205,'Budget Worksheet'!$B$4:$B$234,'Budget Worksheet'!$S$4:$S$234,0)</f>
        <v>-80000</v>
      </c>
      <c r="P205" s="113">
        <f>_xlfn.XLOOKUP(G205,'Budget Worksheet'!$B$4:$B$234,'Budget Worksheet'!$U$4:$U$234,0)</f>
        <v>-80000</v>
      </c>
      <c r="Q205" s="107">
        <f>MATCH(G205,'Budget Worksheet'!$B$5:$B$234,0)</f>
        <v>96</v>
      </c>
      <c r="R205" s="112">
        <f t="shared" si="16"/>
        <v>-411832.13714285713</v>
      </c>
      <c r="S205" s="108"/>
    </row>
    <row r="206" spans="1:19" x14ac:dyDescent="0.25">
      <c r="A206" s="107">
        <v>197</v>
      </c>
      <c r="B206" s="105" t="s">
        <v>97</v>
      </c>
      <c r="C206" s="105" t="str">
        <f t="shared" si="17"/>
        <v>51</v>
      </c>
      <c r="D206" s="105">
        <v>960</v>
      </c>
      <c r="E206" s="106" t="s">
        <v>19</v>
      </c>
      <c r="F206" s="107" t="str">
        <f t="shared" si="15"/>
        <v>960 Interest income</v>
      </c>
      <c r="G206" s="105" t="s">
        <v>597</v>
      </c>
      <c r="H206" s="107" t="s">
        <v>261</v>
      </c>
      <c r="I206" s="112">
        <v>-100000</v>
      </c>
      <c r="J206" s="113">
        <f>SUMIFS('Budget Worksheet'!$J$5:$J$234,'Budget Worksheet'!$B$5:$B$234,'Master Budget'!G206)</f>
        <v>-100000</v>
      </c>
      <c r="K206" s="113">
        <f>_xlfn.XLOOKUP(G206,'Budget Worksheet'!$B$5:$B$234,'Budget Worksheet'!$G$5:$G$234,0)</f>
        <v>-44950.508571428574</v>
      </c>
      <c r="L206" s="113">
        <f>SUMIFS('Budget Worksheet'!$L$5:$L$234,'Budget Worksheet'!$B$5:$B$234,'Master Budget'!G206)</f>
        <v>-100000</v>
      </c>
      <c r="M206" s="113">
        <f>_xlfn.XLOOKUP(G206,'Budget Worksheet'!$B$5:$B$234,'Budget Worksheet'!$N$5:$N$234,0)</f>
        <v>-100000</v>
      </c>
      <c r="N206" s="113">
        <f>_xlfn.XLOOKUP(G206,'Budget Worksheet'!$B$5:$B$234,'Budget Worksheet'!$P$5:$P$234,0)</f>
        <v>-100000</v>
      </c>
      <c r="O206" s="113">
        <f>_xlfn.XLOOKUP(G206,'Budget Worksheet'!$B$4:$B$234,'Budget Worksheet'!$S$4:$S$234,0)</f>
        <v>-100000</v>
      </c>
      <c r="P206" s="113">
        <f>_xlfn.XLOOKUP(G206,'Budget Worksheet'!$B$4:$B$234,'Budget Worksheet'!$U$4:$U$234,0)</f>
        <v>-100000</v>
      </c>
      <c r="Q206" s="107">
        <f>MATCH(G206,'Budget Worksheet'!$B$5:$B$234,0)</f>
        <v>97</v>
      </c>
      <c r="R206" s="112">
        <f t="shared" si="16"/>
        <v>-544950.5085714286</v>
      </c>
      <c r="S206" s="108"/>
    </row>
    <row r="207" spans="1:19" x14ac:dyDescent="0.25">
      <c r="A207" s="107">
        <v>198</v>
      </c>
      <c r="B207" s="105" t="s">
        <v>97</v>
      </c>
      <c r="C207" s="105" t="str">
        <f t="shared" si="17"/>
        <v>51</v>
      </c>
      <c r="D207" s="105">
        <v>0</v>
      </c>
      <c r="E207" s="106" t="e">
        <v>#N/A</v>
      </c>
      <c r="F207" s="107" t="e">
        <f t="shared" si="15"/>
        <v>#N/A</v>
      </c>
      <c r="G207" s="177" t="s">
        <v>598</v>
      </c>
      <c r="H207" s="178" t="s">
        <v>267</v>
      </c>
      <c r="I207" s="112">
        <v>0</v>
      </c>
      <c r="J207" s="113">
        <f>SUMIFS('Budget Worksheet'!$J$5:$J$234,'Budget Worksheet'!$B$5:$B$234,'Master Budget'!G207)</f>
        <v>0</v>
      </c>
      <c r="K207" s="113"/>
      <c r="L207" s="113">
        <f>SUMIFS('Budget Worksheet'!$L$5:$L$234,'Budget Worksheet'!$B$5:$B$234,'Master Budget'!G207)</f>
        <v>0</v>
      </c>
      <c r="M207" s="113">
        <f>_xlfn.XLOOKUP(G207,'Budget Worksheet'!$B$5:$B$234,'Budget Worksheet'!$N$5:$N$234,0)</f>
        <v>0</v>
      </c>
      <c r="N207" s="113">
        <f>_xlfn.XLOOKUP(G207,'Budget Worksheet'!$B$5:$B$234,'Budget Worksheet'!$P$5:$P$234,0)</f>
        <v>0</v>
      </c>
      <c r="O207" s="113">
        <f>_xlfn.XLOOKUP(G207,'Budget Worksheet'!$B$4:$B$234,'Budget Worksheet'!$S$4:$S$234,0)</f>
        <v>0</v>
      </c>
      <c r="P207" s="113">
        <f>_xlfn.XLOOKUP(G207,'Budget Worksheet'!$B$4:$B$234,'Budget Worksheet'!$U$4:$U$234,0)</f>
        <v>0</v>
      </c>
      <c r="Q207" s="107" t="e">
        <f>MATCH(G207,'Budget Worksheet'!$B$5:$B$234,0)</f>
        <v>#N/A</v>
      </c>
      <c r="R207" s="112">
        <f t="shared" si="16"/>
        <v>0</v>
      </c>
      <c r="S207" s="108"/>
    </row>
    <row r="208" spans="1:19" x14ac:dyDescent="0.25">
      <c r="A208" s="107">
        <v>199</v>
      </c>
      <c r="B208" s="105" t="s">
        <v>97</v>
      </c>
      <c r="C208" s="105" t="str">
        <f t="shared" si="17"/>
        <v>51</v>
      </c>
      <c r="D208" s="105">
        <v>960</v>
      </c>
      <c r="E208" s="106" t="s">
        <v>19</v>
      </c>
      <c r="F208" s="107" t="str">
        <f t="shared" ref="F208:F216" si="18">D208&amp;" "&amp;E208</f>
        <v>960 Interest income</v>
      </c>
      <c r="G208" s="105" t="s">
        <v>599</v>
      </c>
      <c r="H208" s="107" t="s">
        <v>600</v>
      </c>
      <c r="I208" s="112">
        <v>0</v>
      </c>
      <c r="J208" s="113">
        <f>SUMIFS('Budget Worksheet'!$J$5:$J$234,'Budget Worksheet'!$B$5:$B$234,'Master Budget'!G208)</f>
        <v>0</v>
      </c>
      <c r="K208" s="113"/>
      <c r="L208" s="113">
        <f>SUMIFS('Budget Worksheet'!$L$5:$L$234,'Budget Worksheet'!$B$5:$B$234,'Master Budget'!G208)</f>
        <v>0</v>
      </c>
      <c r="M208" s="113">
        <f>_xlfn.XLOOKUP(G208,'Budget Worksheet'!$B$5:$B$234,'Budget Worksheet'!$N$5:$N$234,0)</f>
        <v>0</v>
      </c>
      <c r="N208" s="113">
        <f>_xlfn.XLOOKUP(G208,'Budget Worksheet'!$B$5:$B$234,'Budget Worksheet'!$P$5:$P$234,0)</f>
        <v>0</v>
      </c>
      <c r="O208" s="113">
        <f>_xlfn.XLOOKUP(G208,'Budget Worksheet'!$B$4:$B$234,'Budget Worksheet'!$S$4:$S$234,0)</f>
        <v>0</v>
      </c>
      <c r="P208" s="113">
        <f>_xlfn.XLOOKUP(G208,'Budget Worksheet'!$B$4:$B$234,'Budget Worksheet'!$U$4:$U$234,0)</f>
        <v>0</v>
      </c>
      <c r="Q208" s="107">
        <f>MATCH(G208,'Budget Worksheet'!$B$5:$B$234,0)</f>
        <v>98</v>
      </c>
      <c r="R208" s="112">
        <f t="shared" si="16"/>
        <v>0</v>
      </c>
      <c r="S208" s="108"/>
    </row>
    <row r="209" spans="1:19" x14ac:dyDescent="0.25">
      <c r="A209" s="107">
        <v>200</v>
      </c>
      <c r="B209" s="105" t="s">
        <v>102</v>
      </c>
      <c r="C209" s="105" t="str">
        <f t="shared" si="17"/>
        <v>51</v>
      </c>
      <c r="D209" s="105">
        <v>100</v>
      </c>
      <c r="E209" s="106" t="s">
        <v>9</v>
      </c>
      <c r="F209" s="107" t="str">
        <f t="shared" si="18"/>
        <v>100 Salaries and Benefits</v>
      </c>
      <c r="G209" s="105" t="s">
        <v>607</v>
      </c>
      <c r="H209" s="107" t="s">
        <v>1078</v>
      </c>
      <c r="I209" s="112">
        <v>240279.90104166666</v>
      </c>
      <c r="J209" s="113">
        <f>SUMIFS('Budget Worksheet'!$J$5:$J$234,'Budget Worksheet'!$B$5:$B$234,'Master Budget'!G209)</f>
        <v>240280</v>
      </c>
      <c r="K209" s="113">
        <f>_xlfn.XLOOKUP(G209,'Budget Worksheet'!$B$5:$B$234,'Budget Worksheet'!$G$5:$G$234,0)</f>
        <v>260161.37142857141</v>
      </c>
      <c r="L209" s="113">
        <f>SUMIFS('Budget Worksheet'!$L$5:$L$234,'Budget Worksheet'!$B$5:$B$234,'Master Budget'!G209)</f>
        <v>221918.51250000001</v>
      </c>
      <c r="M209" s="113">
        <f>_xlfn.XLOOKUP(G209,'Budget Worksheet'!$B$5:$B$234,'Budget Worksheet'!$N$5:$N$234,0)</f>
        <v>221918.51250000001</v>
      </c>
      <c r="N209" s="113">
        <f>_xlfn.XLOOKUP(G209,'Budget Worksheet'!$B$5:$B$234,'Budget Worksheet'!$P$5:$P$234,0)</f>
        <v>259590.18340500002</v>
      </c>
      <c r="O209" s="113">
        <f>_xlfn.XLOOKUP(G209,'Budget Worksheet'!$B$4:$B$234,'Budget Worksheet'!$S$4:$S$234,0)</f>
        <v>258650.34899999999</v>
      </c>
      <c r="P209" s="113">
        <f>_xlfn.XLOOKUP(G209,'Budget Worksheet'!$B$4:$B$234,'Budget Worksheet'!$U$4:$U$234,0)</f>
        <v>210153.56189999994</v>
      </c>
      <c r="Q209" s="107">
        <f>MATCH(G209,'Budget Worksheet'!$B$5:$B$234,0)</f>
        <v>104</v>
      </c>
      <c r="R209" s="112">
        <f t="shared" si="16"/>
        <v>1444148.4808752381</v>
      </c>
      <c r="S209" s="108"/>
    </row>
    <row r="210" spans="1:19" x14ac:dyDescent="0.25">
      <c r="A210" s="107">
        <v>201</v>
      </c>
      <c r="B210" s="105" t="s">
        <v>102</v>
      </c>
      <c r="C210" s="105" t="str">
        <f t="shared" si="17"/>
        <v>51</v>
      </c>
      <c r="D210" s="105">
        <v>100</v>
      </c>
      <c r="E210" s="106" t="s">
        <v>9</v>
      </c>
      <c r="F210" s="107" t="str">
        <f t="shared" si="18"/>
        <v>100 Salaries and Benefits</v>
      </c>
      <c r="G210" s="105" t="s">
        <v>608</v>
      </c>
      <c r="H210" s="107" t="s">
        <v>104</v>
      </c>
      <c r="I210" s="112">
        <v>18381.412429687494</v>
      </c>
      <c r="J210" s="113">
        <f>SUMIFS('Budget Worksheet'!$J$5:$J$234,'Budget Worksheet'!$B$5:$B$234,'Master Budget'!G210)</f>
        <v>18381</v>
      </c>
      <c r="K210" s="113">
        <f>_xlfn.XLOOKUP(G210,'Budget Worksheet'!$B$5:$B$234,'Budget Worksheet'!$G$5:$G$234,0)</f>
        <v>21491.82857142857</v>
      </c>
      <c r="L210" s="113">
        <f>SUMIFS('Budget Worksheet'!$L$5:$L$234,'Budget Worksheet'!$B$5:$B$234,'Master Budget'!G210)</f>
        <v>16976.766206250002</v>
      </c>
      <c r="M210" s="113">
        <f>_xlfn.XLOOKUP(G210,'Budget Worksheet'!$B$5:$B$234,'Budget Worksheet'!$N$5:$N$234,0)</f>
        <v>16976.766206250002</v>
      </c>
      <c r="N210" s="113">
        <f>_xlfn.XLOOKUP(G210,'Budget Worksheet'!$B$5:$B$234,'Budget Worksheet'!$P$5:$P$234,0)</f>
        <v>19858.649030482498</v>
      </c>
      <c r="O210" s="113">
        <f>_xlfn.XLOOKUP(G210,'Budget Worksheet'!$B$4:$B$234,'Budget Worksheet'!$S$4:$S$234,0)</f>
        <v>19786.7516985</v>
      </c>
      <c r="P210" s="113">
        <f>_xlfn.XLOOKUP(G210,'Budget Worksheet'!$B$4:$B$234,'Budget Worksheet'!$U$4:$U$234,0)</f>
        <v>16076.747485349995</v>
      </c>
      <c r="Q210" s="107">
        <f>MATCH(G210,'Budget Worksheet'!$B$5:$B$234,0)</f>
        <v>105</v>
      </c>
      <c r="R210" s="112">
        <f t="shared" si="16"/>
        <v>112066.42244409857</v>
      </c>
      <c r="S210" s="108"/>
    </row>
    <row r="211" spans="1:19" x14ac:dyDescent="0.25">
      <c r="A211" s="107">
        <v>202</v>
      </c>
      <c r="B211" s="105" t="s">
        <v>102</v>
      </c>
      <c r="C211" s="105" t="str">
        <f t="shared" si="17"/>
        <v>51</v>
      </c>
      <c r="D211" s="105">
        <v>100</v>
      </c>
      <c r="E211" s="106" t="s">
        <v>9</v>
      </c>
      <c r="F211" s="107" t="str">
        <f t="shared" si="18"/>
        <v>100 Salaries and Benefits</v>
      </c>
      <c r="G211" s="105" t="s">
        <v>609</v>
      </c>
      <c r="H211" s="107" t="s">
        <v>106</v>
      </c>
      <c r="I211" s="112">
        <v>44740.661108333334</v>
      </c>
      <c r="J211" s="113">
        <f>SUMIFS('Budget Worksheet'!$J$5:$J$234,'Budget Worksheet'!$B$5:$B$234,'Master Budget'!G211)</f>
        <v>44741</v>
      </c>
      <c r="K211" s="113">
        <f>_xlfn.XLOOKUP(G211,'Budget Worksheet'!$B$5:$B$234,'Budget Worksheet'!$G$5:$G$234,0)</f>
        <v>48144.377142857149</v>
      </c>
      <c r="L211" s="113">
        <f>SUMIFS('Budget Worksheet'!$L$5:$L$234,'Budget Worksheet'!$B$5:$B$234,'Master Budget'!G211)</f>
        <v>31944.720000000001</v>
      </c>
      <c r="M211" s="113">
        <f>_xlfn.XLOOKUP(G211,'Budget Worksheet'!$B$5:$B$234,'Budget Worksheet'!$N$5:$N$234,0)</f>
        <v>31944.720000000001</v>
      </c>
      <c r="N211" s="113">
        <f>_xlfn.XLOOKUP(G211,'Budget Worksheet'!$B$5:$B$234,'Budget Worksheet'!$P$5:$P$234,0)</f>
        <v>39004.434000000008</v>
      </c>
      <c r="O211" s="113">
        <f>_xlfn.XLOOKUP(G211,'Budget Worksheet'!$B$4:$B$234,'Budget Worksheet'!$S$4:$S$234,0)</f>
        <v>38885.520000000004</v>
      </c>
      <c r="P211" s="113">
        <f>_xlfn.XLOOKUP(G211,'Budget Worksheet'!$B$4:$B$234,'Budget Worksheet'!$U$4:$U$234,0)</f>
        <v>30695.847519999999</v>
      </c>
      <c r="Q211" s="107">
        <f>MATCH(G211,'Budget Worksheet'!$B$5:$B$234,0)</f>
        <v>106</v>
      </c>
      <c r="R211" s="112">
        <f t="shared" si="16"/>
        <v>240519.91225119049</v>
      </c>
      <c r="S211" s="108"/>
    </row>
    <row r="212" spans="1:19" x14ac:dyDescent="0.25">
      <c r="A212" s="107">
        <v>203</v>
      </c>
      <c r="B212" s="105" t="s">
        <v>102</v>
      </c>
      <c r="C212" s="105" t="str">
        <f t="shared" si="17"/>
        <v>51</v>
      </c>
      <c r="D212" s="105">
        <v>100</v>
      </c>
      <c r="E212" s="106" t="s">
        <v>9</v>
      </c>
      <c r="F212" s="107" t="str">
        <f t="shared" si="18"/>
        <v>100 Salaries and Benefits</v>
      </c>
      <c r="G212" s="105" t="s">
        <v>610</v>
      </c>
      <c r="H212" s="107" t="s">
        <v>108</v>
      </c>
      <c r="I212" s="112">
        <v>43334.661416597228</v>
      </c>
      <c r="J212" s="113">
        <f>SUMIFS('Budget Worksheet'!$J$5:$J$234,'Budget Worksheet'!$B$5:$B$234,'Master Budget'!G212)</f>
        <v>43335</v>
      </c>
      <c r="K212" s="113">
        <f>_xlfn.XLOOKUP(G212,'Budget Worksheet'!$B$5:$B$234,'Budget Worksheet'!$G$5:$G$234,0)</f>
        <v>52674.942857142858</v>
      </c>
      <c r="L212" s="113">
        <f>SUMIFS('Budget Worksheet'!$L$5:$L$234,'Budget Worksheet'!$B$5:$B$234,'Master Budget'!G212)</f>
        <v>50232.110999999997</v>
      </c>
      <c r="M212" s="113">
        <f>_xlfn.XLOOKUP(G212,'Budget Worksheet'!$B$5:$B$234,'Budget Worksheet'!$N$5:$N$234,0)</f>
        <v>50232.110999999997</v>
      </c>
      <c r="N212" s="113">
        <f>_xlfn.XLOOKUP(G212,'Budget Worksheet'!$B$5:$B$234,'Budget Worksheet'!$P$5:$P$234,0)</f>
        <v>53007.742125000004</v>
      </c>
      <c r="O212" s="113">
        <f>_xlfn.XLOOKUP(G212,'Budget Worksheet'!$B$4:$B$234,'Budget Worksheet'!$S$4:$S$234,0)</f>
        <v>53023.255799999999</v>
      </c>
      <c r="P212" s="113">
        <f>_xlfn.XLOOKUP(G212,'Budget Worksheet'!$B$4:$B$234,'Budget Worksheet'!$U$4:$U$234,0)</f>
        <v>114383.75237599999</v>
      </c>
      <c r="Q212" s="107">
        <f>MATCH(G212,'Budget Worksheet'!$B$5:$B$234,0)</f>
        <v>107</v>
      </c>
      <c r="R212" s="112">
        <f t="shared" si="16"/>
        <v>292816.56839874008</v>
      </c>
      <c r="S212" s="108"/>
    </row>
    <row r="213" spans="1:19" x14ac:dyDescent="0.25">
      <c r="A213" s="107">
        <v>204</v>
      </c>
      <c r="B213" s="105" t="s">
        <v>102</v>
      </c>
      <c r="C213" s="105" t="str">
        <f t="shared" si="17"/>
        <v>51</v>
      </c>
      <c r="D213" s="105">
        <v>100</v>
      </c>
      <c r="E213" s="106" t="s">
        <v>9</v>
      </c>
      <c r="F213" s="107" t="str">
        <f t="shared" si="18"/>
        <v>100 Salaries and Benefits</v>
      </c>
      <c r="G213" s="105" t="s">
        <v>611</v>
      </c>
      <c r="H213" s="107" t="s">
        <v>110</v>
      </c>
      <c r="I213" s="112">
        <v>6099.0569357458326</v>
      </c>
      <c r="J213" s="113">
        <f>SUMIFS('Budget Worksheet'!$J$5:$J$234,'Budget Worksheet'!$B$5:$B$234,'Master Budget'!G213)</f>
        <v>6099</v>
      </c>
      <c r="K213" s="113">
        <f>_xlfn.XLOOKUP(G213,'Budget Worksheet'!$B$5:$B$234,'Budget Worksheet'!$G$5:$G$234,0)</f>
        <v>1630.0285714285715</v>
      </c>
      <c r="L213" s="113">
        <f>SUMIFS('Budget Worksheet'!$L$5:$L$234,'Budget Worksheet'!$B$5:$B$234,'Master Budget'!G213)</f>
        <v>4262.7552000000005</v>
      </c>
      <c r="M213" s="113">
        <f>_xlfn.XLOOKUP(G213,'Budget Worksheet'!$B$5:$B$234,'Budget Worksheet'!$N$5:$N$234,0)</f>
        <v>4262.7552000000005</v>
      </c>
      <c r="N213" s="113">
        <f>_xlfn.XLOOKUP(G213,'Budget Worksheet'!$B$5:$B$234,'Budget Worksheet'!$P$5:$P$234,0)</f>
        <v>5007.4078656000002</v>
      </c>
      <c r="O213" s="113">
        <f>_xlfn.XLOOKUP(G213,'Budget Worksheet'!$B$4:$B$234,'Budget Worksheet'!$S$4:$S$234,0)</f>
        <v>4985.4406399999998</v>
      </c>
      <c r="P213" s="113">
        <f>_xlfn.XLOOKUP(G213,'Budget Worksheet'!$B$4:$B$234,'Budget Worksheet'!$U$4:$U$234,0)</f>
        <v>4006.0952379999999</v>
      </c>
      <c r="Q213" s="107">
        <f>MATCH(G213,'Budget Worksheet'!$B$5:$B$234,0)</f>
        <v>108</v>
      </c>
      <c r="R213" s="112">
        <f t="shared" si="16"/>
        <v>27361.003772774406</v>
      </c>
      <c r="S213" s="108"/>
    </row>
    <row r="214" spans="1:19" x14ac:dyDescent="0.25">
      <c r="A214" s="107">
        <v>205</v>
      </c>
      <c r="B214" s="105" t="s">
        <v>102</v>
      </c>
      <c r="C214" s="105" t="str">
        <f t="shared" si="17"/>
        <v>51</v>
      </c>
      <c r="D214" s="105">
        <v>100</v>
      </c>
      <c r="E214" s="106" t="s">
        <v>9</v>
      </c>
      <c r="F214" s="107" t="str">
        <f t="shared" si="18"/>
        <v>100 Salaries and Benefits</v>
      </c>
      <c r="G214" s="105" t="s">
        <v>612</v>
      </c>
      <c r="H214" s="107" t="s">
        <v>112</v>
      </c>
      <c r="I214" s="112">
        <v>0</v>
      </c>
      <c r="J214" s="113">
        <f>SUMIFS('Budget Worksheet'!$J$5:$J$234,'Budget Worksheet'!$B$5:$B$234,'Master Budget'!G214)</f>
        <v>10000</v>
      </c>
      <c r="K214" s="113">
        <f>_xlfn.XLOOKUP(G214,'Budget Worksheet'!$B$5:$B$234,'Budget Worksheet'!$G$5:$G$234,0)</f>
        <v>21360.102857142854</v>
      </c>
      <c r="L214" s="113">
        <f>SUMIFS('Budget Worksheet'!$L$5:$L$234,'Budget Worksheet'!$B$5:$B$234,'Master Budget'!G214)</f>
        <v>0</v>
      </c>
      <c r="M214" s="113">
        <f>_xlfn.XLOOKUP(G214,'Budget Worksheet'!$B$5:$B$234,'Budget Worksheet'!$N$5:$N$234,0)</f>
        <v>10000</v>
      </c>
      <c r="N214" s="113">
        <f>_xlfn.XLOOKUP(G214,'Budget Worksheet'!$B$5:$B$234,'Budget Worksheet'!$P$5:$P$234,0)</f>
        <v>0</v>
      </c>
      <c r="O214" s="113">
        <f>_xlfn.XLOOKUP(G214,'Budget Worksheet'!$B$4:$B$234,'Budget Worksheet'!$S$4:$S$234,0)</f>
        <v>0</v>
      </c>
      <c r="P214" s="113">
        <f>_xlfn.XLOOKUP(G214,'Budget Worksheet'!$B$4:$B$234,'Budget Worksheet'!$U$4:$U$234,0)</f>
        <v>0</v>
      </c>
      <c r="Q214" s="107">
        <f>MATCH(G214,'Budget Worksheet'!$B$5:$B$234,0)</f>
        <v>109</v>
      </c>
      <c r="R214" s="112">
        <f t="shared" si="16"/>
        <v>41360.102857142854</v>
      </c>
      <c r="S214" s="108"/>
    </row>
    <row r="215" spans="1:19" x14ac:dyDescent="0.25">
      <c r="A215" s="107">
        <v>206</v>
      </c>
      <c r="B215" s="105" t="s">
        <v>102</v>
      </c>
      <c r="C215" s="105" t="str">
        <f t="shared" si="17"/>
        <v>51</v>
      </c>
      <c r="D215" s="105">
        <v>100</v>
      </c>
      <c r="E215" s="106" t="s">
        <v>9</v>
      </c>
      <c r="F215" s="107" t="str">
        <f t="shared" si="18"/>
        <v>100 Salaries and Benefits</v>
      </c>
      <c r="G215" s="105" t="s">
        <v>613</v>
      </c>
      <c r="H215" s="107" t="s">
        <v>114</v>
      </c>
      <c r="I215" s="112">
        <v>297</v>
      </c>
      <c r="J215" s="113">
        <f>SUMIFS('Budget Worksheet'!$J$5:$J$234,'Budget Worksheet'!$B$5:$B$234,'Master Budget'!G215)</f>
        <v>297</v>
      </c>
      <c r="K215" s="113">
        <f>_xlfn.XLOOKUP(G215,'Budget Worksheet'!$B$5:$B$234,'Budget Worksheet'!$G$5:$G$234,0)</f>
        <v>2.2800000000000002</v>
      </c>
      <c r="L215" s="113">
        <f>SUMIFS('Budget Worksheet'!$L$5:$L$234,'Budget Worksheet'!$B$5:$B$234,'Master Budget'!G215)</f>
        <v>108</v>
      </c>
      <c r="M215" s="113">
        <f>_xlfn.XLOOKUP(G215,'Budget Worksheet'!$B$5:$B$234,'Budget Worksheet'!$N$5:$N$234,0)</f>
        <v>108</v>
      </c>
      <c r="N215" s="113">
        <f>_xlfn.XLOOKUP(G215,'Budget Worksheet'!$B$5:$B$234,'Budget Worksheet'!$P$5:$P$234,0)</f>
        <v>115.20000000000002</v>
      </c>
      <c r="O215" s="113">
        <f>_xlfn.XLOOKUP(G215,'Budget Worksheet'!$B$4:$B$234,'Budget Worksheet'!$S$4:$S$234,0)</f>
        <v>115.20000000000002</v>
      </c>
      <c r="P215" s="113">
        <f>_xlfn.XLOOKUP(G215,'Budget Worksheet'!$B$4:$B$234,'Budget Worksheet'!$U$4:$U$234,0)</f>
        <v>172.80000000000004</v>
      </c>
      <c r="Q215" s="107">
        <f>MATCH(G215,'Budget Worksheet'!$B$5:$B$234,0)</f>
        <v>110</v>
      </c>
      <c r="R215" s="112">
        <f t="shared" si="16"/>
        <v>927.48</v>
      </c>
      <c r="S215" s="108"/>
    </row>
    <row r="216" spans="1:19" x14ac:dyDescent="0.25">
      <c r="A216" s="107">
        <v>207</v>
      </c>
      <c r="B216" s="105" t="s">
        <v>102</v>
      </c>
      <c r="C216" s="105" t="str">
        <f t="shared" si="17"/>
        <v>51</v>
      </c>
      <c r="D216" s="105">
        <v>100</v>
      </c>
      <c r="E216" s="106" t="s">
        <v>9</v>
      </c>
      <c r="F216" s="107" t="str">
        <f t="shared" si="18"/>
        <v>100 Salaries and Benefits</v>
      </c>
      <c r="G216" s="105" t="s">
        <v>614</v>
      </c>
      <c r="H216" s="107" t="s">
        <v>276</v>
      </c>
      <c r="I216" s="112">
        <v>0</v>
      </c>
      <c r="J216" s="113">
        <f>SUMIFS('Budget Worksheet'!$J$5:$J$234,'Budget Worksheet'!$B$5:$B$234,'Master Budget'!G216)</f>
        <v>550</v>
      </c>
      <c r="K216" s="113">
        <f>_xlfn.XLOOKUP(G216,'Budget Worksheet'!$B$5:$B$234,'Budget Worksheet'!$G$5:$G$234,0)</f>
        <v>92.88</v>
      </c>
      <c r="L216" s="113">
        <f>SUMIFS('Budget Worksheet'!$L$5:$L$234,'Budget Worksheet'!$B$5:$B$234,'Master Budget'!G216)</f>
        <v>0</v>
      </c>
      <c r="M216" s="113">
        <f>_xlfn.XLOOKUP(G216,'Budget Worksheet'!$B$5:$B$234,'Budget Worksheet'!$N$5:$N$234,0)</f>
        <v>600</v>
      </c>
      <c r="N216" s="113">
        <f>_xlfn.XLOOKUP(G216,'Budget Worksheet'!$B$5:$B$234,'Budget Worksheet'!$P$5:$P$234,0)</f>
        <v>600</v>
      </c>
      <c r="O216" s="113">
        <f>_xlfn.XLOOKUP(G216,'Budget Worksheet'!$B$4:$B$234,'Budget Worksheet'!$S$4:$S$234,0)</f>
        <v>600</v>
      </c>
      <c r="P216" s="113">
        <f>_xlfn.XLOOKUP(G216,'Budget Worksheet'!$B$4:$B$234,'Budget Worksheet'!$U$4:$U$234,0)</f>
        <v>600</v>
      </c>
      <c r="Q216" s="107">
        <f>MATCH(G216,'Budget Worksheet'!$B$5:$B$234,0)</f>
        <v>111</v>
      </c>
      <c r="R216" s="112">
        <f t="shared" si="16"/>
        <v>1842.88</v>
      </c>
      <c r="S216" s="108"/>
    </row>
    <row r="217" spans="1:19" x14ac:dyDescent="0.25">
      <c r="C217" s="105" t="str">
        <f t="shared" si="17"/>
        <v>51</v>
      </c>
      <c r="G217" s="105" t="s">
        <v>615</v>
      </c>
      <c r="H217" s="107" t="s">
        <v>278</v>
      </c>
      <c r="I217" s="112"/>
      <c r="J217" s="113">
        <f>SUMIFS('Budget Worksheet'!$J$5:$J$234,'Budget Worksheet'!$B$5:$B$234,'Master Budget'!G217)</f>
        <v>0</v>
      </c>
      <c r="K217" s="113"/>
      <c r="L217" s="113">
        <f>SUMIFS('Budget Worksheet'!$L$5:$L$234,'Budget Worksheet'!$B$5:$B$234,'Master Budget'!G217)</f>
        <v>0</v>
      </c>
      <c r="M217" s="113">
        <f>_xlfn.XLOOKUP(G217,'Budget Worksheet'!$B$5:$B$234,'Budget Worksheet'!$N$5:$N$234,0)</f>
        <v>0</v>
      </c>
      <c r="N217" s="113">
        <f>_xlfn.XLOOKUP(G217,'Budget Worksheet'!$B$5:$B$234,'Budget Worksheet'!$P$5:$P$234,0)</f>
        <v>0</v>
      </c>
      <c r="O217" s="113">
        <f>_xlfn.XLOOKUP(G217,'Budget Worksheet'!$B$4:$B$234,'Budget Worksheet'!$S$4:$S$234,0)</f>
        <v>0</v>
      </c>
      <c r="P217" s="113">
        <f>_xlfn.XLOOKUP(G217,'Budget Worksheet'!$B$4:$B$234,'Budget Worksheet'!$U$4:$U$234,0)</f>
        <v>0</v>
      </c>
      <c r="Q217" s="107">
        <f>MATCH(G217,'Budget Worksheet'!$B$5:$B$234,0)</f>
        <v>112</v>
      </c>
      <c r="R217" s="112">
        <f t="shared" si="16"/>
        <v>0</v>
      </c>
      <c r="S217" s="108"/>
    </row>
    <row r="218" spans="1:19" x14ac:dyDescent="0.25">
      <c r="A218" s="107">
        <v>208</v>
      </c>
      <c r="B218" s="105" t="s">
        <v>102</v>
      </c>
      <c r="C218" s="105" t="str">
        <f t="shared" si="17"/>
        <v>51</v>
      </c>
      <c r="D218" s="105">
        <v>200</v>
      </c>
      <c r="E218" s="106" t="s">
        <v>10</v>
      </c>
      <c r="F218" s="107" t="str">
        <f t="shared" ref="F218:F249" si="19">D218&amp;" "&amp;E218</f>
        <v>200 General and Administrative</v>
      </c>
      <c r="G218" s="105" t="s">
        <v>616</v>
      </c>
      <c r="H218" s="107" t="s">
        <v>1054</v>
      </c>
      <c r="I218" s="112">
        <v>7000</v>
      </c>
      <c r="J218" s="113">
        <f>SUMIFS('Budget Worksheet'!$J$5:$J$234,'Budget Worksheet'!$B$5:$B$234,'Master Budget'!G218)</f>
        <v>7000</v>
      </c>
      <c r="K218" s="113">
        <f>_xlfn.XLOOKUP(G218,'Budget Worksheet'!$B$5:$B$234,'Budget Worksheet'!$G$5:$G$234,0)</f>
        <v>12785.914285714283</v>
      </c>
      <c r="L218" s="113">
        <f>SUMIFS('Budget Worksheet'!$L$5:$L$234,'Budget Worksheet'!$B$5:$B$234,'Master Budget'!G218)</f>
        <v>7000</v>
      </c>
      <c r="M218" s="113">
        <f>_xlfn.XLOOKUP(G218,'Budget Worksheet'!$B$5:$B$234,'Budget Worksheet'!$N$5:$N$234,0)</f>
        <v>7000</v>
      </c>
      <c r="N218" s="113">
        <f>_xlfn.XLOOKUP(G218,'Budget Worksheet'!$B$5:$B$234,'Budget Worksheet'!$P$5:$P$234,0)</f>
        <v>7000</v>
      </c>
      <c r="O218" s="113">
        <f>_xlfn.XLOOKUP(G218,'Budget Worksheet'!$B$4:$B$234,'Budget Worksheet'!$S$4:$S$234,0)</f>
        <v>9000</v>
      </c>
      <c r="P218" s="113">
        <f>_xlfn.XLOOKUP(G218,'Budget Worksheet'!$B$4:$B$234,'Budget Worksheet'!$U$4:$U$234,0)</f>
        <v>9000</v>
      </c>
      <c r="Q218" s="107">
        <f>MATCH(G218,'Budget Worksheet'!$B$5:$B$234,0)</f>
        <v>113</v>
      </c>
      <c r="R218" s="112">
        <f t="shared" si="16"/>
        <v>47785.914285714287</v>
      </c>
      <c r="S218" s="108"/>
    </row>
    <row r="219" spans="1:19" x14ac:dyDescent="0.25">
      <c r="A219" s="107">
        <v>209</v>
      </c>
      <c r="B219" s="105" t="s">
        <v>102</v>
      </c>
      <c r="C219" s="105" t="str">
        <f t="shared" si="17"/>
        <v>51</v>
      </c>
      <c r="D219" s="105">
        <v>200</v>
      </c>
      <c r="E219" s="106" t="s">
        <v>10</v>
      </c>
      <c r="F219" s="107" t="str">
        <f t="shared" si="19"/>
        <v>200 General and Administrative</v>
      </c>
      <c r="G219" s="105" t="s">
        <v>617</v>
      </c>
      <c r="H219" s="107" t="s">
        <v>1055</v>
      </c>
      <c r="I219" s="112">
        <v>4000</v>
      </c>
      <c r="J219" s="113">
        <f>SUMIFS('Budget Worksheet'!$J$5:$J$234,'Budget Worksheet'!$B$5:$B$234,'Master Budget'!G219)</f>
        <v>7500</v>
      </c>
      <c r="K219" s="113">
        <f>_xlfn.XLOOKUP(G219,'Budget Worksheet'!$B$5:$B$234,'Budget Worksheet'!$G$5:$G$234,0)</f>
        <v>15080.400000000001</v>
      </c>
      <c r="L219" s="113">
        <f>SUMIFS('Budget Worksheet'!$L$5:$L$234,'Budget Worksheet'!$B$5:$B$234,'Master Budget'!G219)</f>
        <v>6500</v>
      </c>
      <c r="M219" s="113">
        <f>_xlfn.XLOOKUP(G219,'Budget Worksheet'!$B$5:$B$234,'Budget Worksheet'!$N$5:$N$234,0)</f>
        <v>6500</v>
      </c>
      <c r="N219" s="113">
        <f>_xlfn.XLOOKUP(G219,'Budget Worksheet'!$B$5:$B$234,'Budget Worksheet'!$P$5:$P$234,0)</f>
        <v>6500</v>
      </c>
      <c r="O219" s="113">
        <f>_xlfn.XLOOKUP(G219,'Budget Worksheet'!$B$4:$B$234,'Budget Worksheet'!$S$4:$S$234,0)</f>
        <v>12000</v>
      </c>
      <c r="P219" s="113">
        <f>_xlfn.XLOOKUP(G219,'Budget Worksheet'!$B$4:$B$234,'Budget Worksheet'!$U$4:$U$234,0)</f>
        <v>12000</v>
      </c>
      <c r="Q219" s="107">
        <f>MATCH(G219,'Budget Worksheet'!$B$5:$B$234,0)</f>
        <v>114</v>
      </c>
      <c r="R219" s="112">
        <f t="shared" si="16"/>
        <v>46080.4</v>
      </c>
      <c r="S219" s="108"/>
    </row>
    <row r="220" spans="1:19" x14ac:dyDescent="0.25">
      <c r="A220" s="107">
        <v>210</v>
      </c>
      <c r="B220" s="105" t="s">
        <v>102</v>
      </c>
      <c r="C220" s="105" t="str">
        <f t="shared" si="17"/>
        <v>51</v>
      </c>
      <c r="D220" s="105">
        <v>200</v>
      </c>
      <c r="E220" s="106" t="s">
        <v>10</v>
      </c>
      <c r="F220" s="107" t="str">
        <f t="shared" si="19"/>
        <v>200 General and Administrative</v>
      </c>
      <c r="G220" s="105" t="s">
        <v>618</v>
      </c>
      <c r="H220" s="107" t="s">
        <v>124</v>
      </c>
      <c r="I220" s="112">
        <v>10000</v>
      </c>
      <c r="J220" s="113">
        <f>SUMIFS('Budget Worksheet'!$J$5:$J$234,'Budget Worksheet'!$B$5:$B$234,'Master Budget'!G220)</f>
        <v>10000</v>
      </c>
      <c r="K220" s="113">
        <f>_xlfn.XLOOKUP(G220,'Budget Worksheet'!$B$5:$B$234,'Budget Worksheet'!$G$5:$G$234,0)</f>
        <v>12717.548571428571</v>
      </c>
      <c r="L220" s="113">
        <f>SUMIFS('Budget Worksheet'!$L$5:$L$234,'Budget Worksheet'!$B$5:$B$234,'Master Budget'!G220)</f>
        <v>10000</v>
      </c>
      <c r="M220" s="113">
        <f>_xlfn.XLOOKUP(G220,'Budget Worksheet'!$B$5:$B$234,'Budget Worksheet'!$N$5:$N$234,0)</f>
        <v>10000</v>
      </c>
      <c r="N220" s="113">
        <f>_xlfn.XLOOKUP(G220,'Budget Worksheet'!$B$5:$B$234,'Budget Worksheet'!$P$5:$P$234,0)</f>
        <v>10000</v>
      </c>
      <c r="O220" s="113">
        <f>_xlfn.XLOOKUP(G220,'Budget Worksheet'!$B$4:$B$234,'Budget Worksheet'!$S$4:$S$234,0)</f>
        <v>10000</v>
      </c>
      <c r="P220" s="113">
        <f>_xlfn.XLOOKUP(G220,'Budget Worksheet'!$B$4:$B$234,'Budget Worksheet'!$U$4:$U$234,0)</f>
        <v>10000</v>
      </c>
      <c r="Q220" s="107">
        <f>MATCH(G220,'Budget Worksheet'!$B$5:$B$234,0)</f>
        <v>115</v>
      </c>
      <c r="R220" s="112">
        <f t="shared" si="16"/>
        <v>62717.548571428575</v>
      </c>
      <c r="S220" s="108"/>
    </row>
    <row r="221" spans="1:19" x14ac:dyDescent="0.25">
      <c r="A221" s="107">
        <v>211</v>
      </c>
      <c r="B221" s="105" t="s">
        <v>102</v>
      </c>
      <c r="C221" s="105" t="str">
        <f t="shared" si="17"/>
        <v>51</v>
      </c>
      <c r="D221" s="105">
        <v>200</v>
      </c>
      <c r="E221" s="106" t="s">
        <v>10</v>
      </c>
      <c r="F221" s="107" t="str">
        <f t="shared" si="19"/>
        <v>200 General and Administrative</v>
      </c>
      <c r="G221" s="105" t="s">
        <v>619</v>
      </c>
      <c r="H221" s="107" t="s">
        <v>126</v>
      </c>
      <c r="I221" s="112">
        <v>8000</v>
      </c>
      <c r="J221" s="113">
        <f>SUMIFS('Budget Worksheet'!$J$5:$J$234,'Budget Worksheet'!$B$5:$B$234,'Master Budget'!G221)</f>
        <v>8000</v>
      </c>
      <c r="K221" s="113">
        <f>_xlfn.XLOOKUP(G221,'Budget Worksheet'!$B$5:$B$234,'Budget Worksheet'!$G$5:$G$234,0)</f>
        <v>4243.5085714285715</v>
      </c>
      <c r="L221" s="113">
        <f>SUMIFS('Budget Worksheet'!$L$5:$L$234,'Budget Worksheet'!$B$5:$B$234,'Master Budget'!G221)</f>
        <v>8000</v>
      </c>
      <c r="M221" s="113">
        <f>_xlfn.XLOOKUP(G221,'Budget Worksheet'!$B$5:$B$234,'Budget Worksheet'!$N$5:$N$234,0)</f>
        <v>8000</v>
      </c>
      <c r="N221" s="113">
        <f>_xlfn.XLOOKUP(G221,'Budget Worksheet'!$B$5:$B$234,'Budget Worksheet'!$P$5:$P$234,0)</f>
        <v>8000</v>
      </c>
      <c r="O221" s="113">
        <f>_xlfn.XLOOKUP(G221,'Budget Worksheet'!$B$4:$B$234,'Budget Worksheet'!$S$4:$S$234,0)</f>
        <v>8000</v>
      </c>
      <c r="P221" s="113">
        <f>_xlfn.XLOOKUP(G221,'Budget Worksheet'!$B$4:$B$234,'Budget Worksheet'!$U$4:$U$234,0)</f>
        <v>8000</v>
      </c>
      <c r="Q221" s="107">
        <f>MATCH(G221,'Budget Worksheet'!$B$5:$B$234,0)</f>
        <v>116</v>
      </c>
      <c r="R221" s="112">
        <f t="shared" si="16"/>
        <v>44243.508571428567</v>
      </c>
      <c r="S221" s="108"/>
    </row>
    <row r="222" spans="1:19" x14ac:dyDescent="0.25">
      <c r="A222" s="107">
        <v>212</v>
      </c>
      <c r="B222" s="105" t="s">
        <v>102</v>
      </c>
      <c r="C222" s="105" t="str">
        <f t="shared" si="17"/>
        <v>51</v>
      </c>
      <c r="D222" s="105">
        <v>200</v>
      </c>
      <c r="E222" s="106" t="s">
        <v>10</v>
      </c>
      <c r="F222" s="107" t="str">
        <f t="shared" si="19"/>
        <v>200 General and Administrative</v>
      </c>
      <c r="G222" s="105" t="s">
        <v>620</v>
      </c>
      <c r="H222" s="107" t="s">
        <v>287</v>
      </c>
      <c r="I222" s="112">
        <v>6000</v>
      </c>
      <c r="J222" s="113">
        <f>SUMIFS('Budget Worksheet'!$J$5:$J$234,'Budget Worksheet'!$B$5:$B$234,'Master Budget'!G222)</f>
        <v>6000</v>
      </c>
      <c r="K222" s="113">
        <f>_xlfn.XLOOKUP(G222,'Budget Worksheet'!$B$5:$B$234,'Budget Worksheet'!$G$5:$G$234,0)</f>
        <v>4342.8857142857141</v>
      </c>
      <c r="L222" s="113">
        <f>SUMIFS('Budget Worksheet'!$L$5:$L$234,'Budget Worksheet'!$B$5:$B$234,'Master Budget'!G222)</f>
        <v>6000</v>
      </c>
      <c r="M222" s="113">
        <f>_xlfn.XLOOKUP(G222,'Budget Worksheet'!$B$5:$B$234,'Budget Worksheet'!$N$5:$N$234,0)</f>
        <v>6000</v>
      </c>
      <c r="N222" s="113">
        <f>_xlfn.XLOOKUP(G222,'Budget Worksheet'!$B$5:$B$234,'Budget Worksheet'!$P$5:$P$234,0)</f>
        <v>6000</v>
      </c>
      <c r="O222" s="113">
        <f>_xlfn.XLOOKUP(G222,'Budget Worksheet'!$B$4:$B$234,'Budget Worksheet'!$S$4:$S$234,0)</f>
        <v>6000</v>
      </c>
      <c r="P222" s="113">
        <f>_xlfn.XLOOKUP(G222,'Budget Worksheet'!$B$4:$B$234,'Budget Worksheet'!$U$4:$U$234,0)</f>
        <v>6000</v>
      </c>
      <c r="Q222" s="107">
        <f>MATCH(G222,'Budget Worksheet'!$B$5:$B$234,0)</f>
        <v>117</v>
      </c>
      <c r="R222" s="112">
        <f t="shared" si="16"/>
        <v>34342.885714285716</v>
      </c>
      <c r="S222" s="108"/>
    </row>
    <row r="223" spans="1:19" x14ac:dyDescent="0.25">
      <c r="A223" s="107">
        <v>213</v>
      </c>
      <c r="B223" s="105" t="s">
        <v>102</v>
      </c>
      <c r="C223" s="105" t="str">
        <f t="shared" si="17"/>
        <v>51</v>
      </c>
      <c r="D223" s="105">
        <v>200</v>
      </c>
      <c r="E223" s="106" t="s">
        <v>10</v>
      </c>
      <c r="F223" s="107" t="str">
        <f t="shared" si="19"/>
        <v>200 General and Administrative</v>
      </c>
      <c r="G223" s="105" t="s">
        <v>621</v>
      </c>
      <c r="H223" s="107" t="s">
        <v>132</v>
      </c>
      <c r="I223" s="112">
        <v>20000</v>
      </c>
      <c r="J223" s="113">
        <f>SUMIFS('Budget Worksheet'!$J$5:$J$234,'Budget Worksheet'!$B$5:$B$234,'Master Budget'!G223)</f>
        <v>30000</v>
      </c>
      <c r="K223" s="113">
        <f>_xlfn.XLOOKUP(G223,'Budget Worksheet'!$B$5:$B$234,'Budget Worksheet'!$G$5:$G$234,0)</f>
        <v>19979.537142857142</v>
      </c>
      <c r="L223" s="113">
        <f>SUMIFS('Budget Worksheet'!$L$5:$L$234,'Budget Worksheet'!$B$5:$B$234,'Master Budget'!G223)</f>
        <v>25000</v>
      </c>
      <c r="M223" s="113">
        <f>_xlfn.XLOOKUP(G223,'Budget Worksheet'!$B$5:$B$234,'Budget Worksheet'!$N$5:$N$234,0)</f>
        <v>25000</v>
      </c>
      <c r="N223" s="113">
        <f>_xlfn.XLOOKUP(G223,'Budget Worksheet'!$B$5:$B$234,'Budget Worksheet'!$P$5:$P$234,0)</f>
        <v>25000</v>
      </c>
      <c r="O223" s="113">
        <f>_xlfn.XLOOKUP(G223,'Budget Worksheet'!$B$4:$B$234,'Budget Worksheet'!$S$4:$S$234,0)</f>
        <v>25000</v>
      </c>
      <c r="P223" s="113">
        <f>_xlfn.XLOOKUP(G223,'Budget Worksheet'!$B$4:$B$234,'Budget Worksheet'!$U$4:$U$234,0)</f>
        <v>25000</v>
      </c>
      <c r="Q223" s="107">
        <f>MATCH(G223,'Budget Worksheet'!$B$5:$B$234,0)</f>
        <v>118</v>
      </c>
      <c r="R223" s="112">
        <f t="shared" si="16"/>
        <v>144979.53714285715</v>
      </c>
      <c r="S223" s="108"/>
    </row>
    <row r="224" spans="1:19" x14ac:dyDescent="0.25">
      <c r="A224" s="107">
        <v>214</v>
      </c>
      <c r="B224" s="105" t="s">
        <v>102</v>
      </c>
      <c r="C224" s="105" t="str">
        <f t="shared" si="17"/>
        <v>51</v>
      </c>
      <c r="D224" s="105">
        <v>200</v>
      </c>
      <c r="E224" s="106" t="s">
        <v>10</v>
      </c>
      <c r="F224" s="107" t="str">
        <f t="shared" si="19"/>
        <v>200 General and Administrative</v>
      </c>
      <c r="G224" s="105" t="s">
        <v>622</v>
      </c>
      <c r="H224" s="107" t="s">
        <v>291</v>
      </c>
      <c r="I224" s="112">
        <v>250</v>
      </c>
      <c r="J224" s="113">
        <f>SUMIFS('Budget Worksheet'!$J$5:$J$234,'Budget Worksheet'!$B$5:$B$234,'Master Budget'!G224)</f>
        <v>250</v>
      </c>
      <c r="K224" s="113">
        <f>_xlfn.XLOOKUP(G224,'Budget Worksheet'!$B$5:$B$234,'Budget Worksheet'!$G$5:$G$234,0)</f>
        <v>51.771428571428572</v>
      </c>
      <c r="L224" s="113">
        <f>SUMIFS('Budget Worksheet'!$L$5:$L$234,'Budget Worksheet'!$B$5:$B$234,'Master Budget'!G224)</f>
        <v>300</v>
      </c>
      <c r="M224" s="113">
        <f>_xlfn.XLOOKUP(G224,'Budget Worksheet'!$B$5:$B$234,'Budget Worksheet'!$N$5:$N$234,0)</f>
        <v>300</v>
      </c>
      <c r="N224" s="113">
        <f>_xlfn.XLOOKUP(G224,'Budget Worksheet'!$B$5:$B$234,'Budget Worksheet'!$P$5:$P$234,0)</f>
        <v>300</v>
      </c>
      <c r="O224" s="113">
        <f>_xlfn.XLOOKUP(G224,'Budget Worksheet'!$B$4:$B$234,'Budget Worksheet'!$S$4:$S$234,0)</f>
        <v>300</v>
      </c>
      <c r="P224" s="113">
        <f>_xlfn.XLOOKUP(G224,'Budget Worksheet'!$B$4:$B$234,'Budget Worksheet'!$U$4:$U$234,0)</f>
        <v>300</v>
      </c>
      <c r="Q224" s="107">
        <f>MATCH(G224,'Budget Worksheet'!$B$5:$B$234,0)</f>
        <v>119</v>
      </c>
      <c r="R224" s="112">
        <f t="shared" si="16"/>
        <v>1451.7714285714287</v>
      </c>
      <c r="S224" s="108"/>
    </row>
    <row r="225" spans="1:19" x14ac:dyDescent="0.25">
      <c r="B225" s="105" t="s">
        <v>102</v>
      </c>
      <c r="C225" s="105" t="str">
        <f t="shared" si="17"/>
        <v>51</v>
      </c>
      <c r="D225" s="105">
        <v>200</v>
      </c>
      <c r="E225" s="106" t="s">
        <v>10</v>
      </c>
      <c r="F225" s="107" t="str">
        <f t="shared" si="19"/>
        <v>200 General and Administrative</v>
      </c>
      <c r="G225" s="105" t="s">
        <v>623</v>
      </c>
      <c r="H225" s="107" t="s">
        <v>295</v>
      </c>
      <c r="I225" s="112"/>
      <c r="J225" s="113">
        <f>SUMIFS('Budget Worksheet'!$J$5:$J$234,'Budget Worksheet'!$B$5:$B$234,'Master Budget'!G225)</f>
        <v>0</v>
      </c>
      <c r="K225" s="113"/>
      <c r="L225" s="113">
        <f>SUMIFS('Budget Worksheet'!$L$5:$L$234,'Budget Worksheet'!$B$5:$B$234,'Master Budget'!G225)</f>
        <v>0</v>
      </c>
      <c r="M225" s="113">
        <f>_xlfn.XLOOKUP(G225,'Budget Worksheet'!$B$5:$B$234,'Budget Worksheet'!$N$5:$N$234,0)</f>
        <v>0</v>
      </c>
      <c r="N225" s="113">
        <f>_xlfn.XLOOKUP(G225,'Budget Worksheet'!$B$5:$B$234,'Budget Worksheet'!$P$5:$P$234,0)</f>
        <v>0</v>
      </c>
      <c r="O225" s="113">
        <f>_xlfn.XLOOKUP(G225,'Budget Worksheet'!$B$4:$B$234,'Budget Worksheet'!$S$4:$S$234,0)</f>
        <v>0</v>
      </c>
      <c r="P225" s="113">
        <f>_xlfn.XLOOKUP(G225,'Budget Worksheet'!$B$4:$B$234,'Budget Worksheet'!$U$4:$U$234,0)</f>
        <v>0</v>
      </c>
      <c r="Q225" s="107">
        <f>MATCH(G225,'Budget Worksheet'!$B$5:$B$234,0)</f>
        <v>120</v>
      </c>
      <c r="R225" s="112">
        <f t="shared" si="16"/>
        <v>0</v>
      </c>
      <c r="S225" s="108"/>
    </row>
    <row r="226" spans="1:19" x14ac:dyDescent="0.25">
      <c r="A226" s="107">
        <v>215</v>
      </c>
      <c r="B226" s="105" t="s">
        <v>102</v>
      </c>
      <c r="C226" s="105" t="str">
        <f t="shared" si="17"/>
        <v>51</v>
      </c>
      <c r="D226" s="105">
        <v>200</v>
      </c>
      <c r="E226" s="106" t="s">
        <v>10</v>
      </c>
      <c r="F226" s="107" t="str">
        <f t="shared" si="19"/>
        <v>200 General and Administrative</v>
      </c>
      <c r="G226" s="105" t="s">
        <v>624</v>
      </c>
      <c r="H226" s="107" t="s">
        <v>297</v>
      </c>
      <c r="I226" s="112">
        <v>6500</v>
      </c>
      <c r="J226" s="113">
        <f>SUMIFS('Budget Worksheet'!$J$5:$J$234,'Budget Worksheet'!$B$5:$B$234,'Master Budget'!G226)</f>
        <v>6500</v>
      </c>
      <c r="K226" s="113">
        <f>_xlfn.XLOOKUP(G226,'Budget Worksheet'!$B$5:$B$234,'Budget Worksheet'!$G$5:$G$234,0)</f>
        <v>7746.6342857142845</v>
      </c>
      <c r="L226" s="113">
        <f>SUMIFS('Budget Worksheet'!$L$5:$L$234,'Budget Worksheet'!$B$5:$B$234,'Master Budget'!G226)</f>
        <v>6500</v>
      </c>
      <c r="M226" s="113">
        <f>_xlfn.XLOOKUP(G226,'Budget Worksheet'!$B$5:$B$234,'Budget Worksheet'!$N$5:$N$234,0)</f>
        <v>6500</v>
      </c>
      <c r="N226" s="113">
        <f>_xlfn.XLOOKUP(G226,'Budget Worksheet'!$B$5:$B$234,'Budget Worksheet'!$P$5:$P$234,0)</f>
        <v>6500</v>
      </c>
      <c r="O226" s="113">
        <f>_xlfn.XLOOKUP(G226,'Budget Worksheet'!$B$4:$B$234,'Budget Worksheet'!$S$4:$S$234,0)</f>
        <v>7000</v>
      </c>
      <c r="P226" s="113">
        <f>_xlfn.XLOOKUP(G226,'Budget Worksheet'!$B$4:$B$234,'Budget Worksheet'!$U$4:$U$234,0)</f>
        <v>14000</v>
      </c>
      <c r="Q226" s="107">
        <f>MATCH(G226,'Budget Worksheet'!$B$5:$B$234,0)</f>
        <v>121</v>
      </c>
      <c r="R226" s="112">
        <f t="shared" si="16"/>
        <v>40246.634285714288</v>
      </c>
      <c r="S226" s="108"/>
    </row>
    <row r="227" spans="1:19" x14ac:dyDescent="0.25">
      <c r="A227" s="107">
        <v>216</v>
      </c>
      <c r="B227" s="105" t="s">
        <v>102</v>
      </c>
      <c r="C227" s="105" t="str">
        <f t="shared" si="17"/>
        <v>51</v>
      </c>
      <c r="D227" s="105">
        <v>200</v>
      </c>
      <c r="E227" s="106" t="s">
        <v>10</v>
      </c>
      <c r="F227" s="107" t="str">
        <f t="shared" si="19"/>
        <v>200 General and Administrative</v>
      </c>
      <c r="G227" s="105" t="s">
        <v>625</v>
      </c>
      <c r="H227" s="107" t="s">
        <v>303</v>
      </c>
      <c r="I227" s="112">
        <v>18000</v>
      </c>
      <c r="J227" s="113">
        <f>SUMIFS('Budget Worksheet'!$J$5:$J$234,'Budget Worksheet'!$B$5:$B$234,'Master Budget'!G227)</f>
        <v>18000</v>
      </c>
      <c r="K227" s="113">
        <f>_xlfn.XLOOKUP(G227,'Budget Worksheet'!$B$5:$B$234,'Budget Worksheet'!$G$5:$G$234,0)</f>
        <v>29578.902857142857</v>
      </c>
      <c r="L227" s="113">
        <f>SUMIFS('Budget Worksheet'!$L$5:$L$234,'Budget Worksheet'!$B$5:$B$234,'Master Budget'!G227)</f>
        <v>18000</v>
      </c>
      <c r="M227" s="113">
        <f>_xlfn.XLOOKUP(G227,'Budget Worksheet'!$B$5:$B$234,'Budget Worksheet'!$N$5:$N$234,0)</f>
        <v>18000</v>
      </c>
      <c r="N227" s="113">
        <f>_xlfn.XLOOKUP(G227,'Budget Worksheet'!$B$5:$B$234,'Budget Worksheet'!$P$5:$P$234,0)</f>
        <v>18000</v>
      </c>
      <c r="O227" s="113">
        <f>_xlfn.XLOOKUP(G227,'Budget Worksheet'!$B$4:$B$234,'Budget Worksheet'!$S$4:$S$234,0)</f>
        <v>18000</v>
      </c>
      <c r="P227" s="113">
        <f>_xlfn.XLOOKUP(G227,'Budget Worksheet'!$B$4:$B$234,'Budget Worksheet'!$U$4:$U$234,0)</f>
        <v>18000</v>
      </c>
      <c r="Q227" s="107">
        <f>MATCH(G227,'Budget Worksheet'!$B$5:$B$234,0)</f>
        <v>122</v>
      </c>
      <c r="R227" s="112">
        <f t="shared" si="16"/>
        <v>119578.90285714285</v>
      </c>
      <c r="S227" s="108"/>
    </row>
    <row r="228" spans="1:19" x14ac:dyDescent="0.25">
      <c r="A228" s="107">
        <v>217</v>
      </c>
      <c r="B228" s="105" t="s">
        <v>102</v>
      </c>
      <c r="C228" s="105" t="str">
        <f t="shared" si="17"/>
        <v>51</v>
      </c>
      <c r="D228" s="105">
        <v>500</v>
      </c>
      <c r="E228" s="106" t="s">
        <v>11</v>
      </c>
      <c r="F228" s="107" t="str">
        <f t="shared" si="19"/>
        <v>500 Repairs and Maintenance</v>
      </c>
      <c r="G228" s="105" t="s">
        <v>626</v>
      </c>
      <c r="H228" s="107" t="s">
        <v>754</v>
      </c>
      <c r="I228" s="112">
        <v>800</v>
      </c>
      <c r="J228" s="113">
        <f>SUMIFS('Budget Worksheet'!$J$5:$J$234,'Budget Worksheet'!$B$5:$B$234,'Master Budget'!G228)</f>
        <v>1850</v>
      </c>
      <c r="K228" s="113">
        <f>_xlfn.XLOOKUP(G228,'Budget Worksheet'!$B$5:$B$234,'Budget Worksheet'!$G$5:$G$234,0)</f>
        <v>1993.92</v>
      </c>
      <c r="L228" s="113">
        <f>SUMIFS('Budget Worksheet'!$L$5:$L$234,'Budget Worksheet'!$B$5:$B$234,'Master Budget'!G228)</f>
        <v>1000</v>
      </c>
      <c r="M228" s="113">
        <f>_xlfn.XLOOKUP(G228,'Budget Worksheet'!$B$5:$B$234,'Budget Worksheet'!$N$5:$N$234,0)</f>
        <v>1850</v>
      </c>
      <c r="N228" s="113">
        <f>_xlfn.XLOOKUP(G228,'Budget Worksheet'!$B$5:$B$234,'Budget Worksheet'!$P$5:$P$234,0)</f>
        <v>1850</v>
      </c>
      <c r="O228" s="113">
        <f>_xlfn.XLOOKUP(G228,'Budget Worksheet'!$B$4:$B$234,'Budget Worksheet'!$S$4:$S$234,0)</f>
        <v>1850</v>
      </c>
      <c r="P228" s="113">
        <f>_xlfn.XLOOKUP(G228,'Budget Worksheet'!$B$4:$B$234,'Budget Worksheet'!$U$4:$U$234,0)</f>
        <v>2500</v>
      </c>
      <c r="Q228" s="107">
        <f>MATCH(G228,'Budget Worksheet'!$B$5:$B$234,0)</f>
        <v>124</v>
      </c>
      <c r="R228" s="112">
        <f t="shared" si="16"/>
        <v>9343.92</v>
      </c>
      <c r="S228" s="108"/>
    </row>
    <row r="229" spans="1:19" x14ac:dyDescent="0.25">
      <c r="A229" s="107">
        <v>218</v>
      </c>
      <c r="B229" s="105" t="s">
        <v>102</v>
      </c>
      <c r="C229" s="105" t="str">
        <f t="shared" si="17"/>
        <v>51</v>
      </c>
      <c r="D229" s="105">
        <v>500</v>
      </c>
      <c r="E229" s="106" t="s">
        <v>11</v>
      </c>
      <c r="F229" s="107" t="str">
        <f t="shared" si="19"/>
        <v>500 Repairs and Maintenance</v>
      </c>
      <c r="G229" s="105" t="s">
        <v>628</v>
      </c>
      <c r="H229" s="107" t="s">
        <v>311</v>
      </c>
      <c r="I229" s="112">
        <v>3000</v>
      </c>
      <c r="J229" s="113">
        <f>SUMIFS('Budget Worksheet'!$J$5:$J$234,'Budget Worksheet'!$B$5:$B$234,'Master Budget'!G229)</f>
        <v>3000</v>
      </c>
      <c r="K229" s="113">
        <f>_xlfn.XLOOKUP(G229,'Budget Worksheet'!$B$5:$B$234,'Budget Worksheet'!$G$5:$G$234,0)</f>
        <v>3900.7714285714283</v>
      </c>
      <c r="L229" s="113">
        <f>SUMIFS('Budget Worksheet'!$L$5:$L$234,'Budget Worksheet'!$B$5:$B$234,'Master Budget'!G229)</f>
        <v>3000</v>
      </c>
      <c r="M229" s="113">
        <f>_xlfn.XLOOKUP(G229,'Budget Worksheet'!$B$5:$B$234,'Budget Worksheet'!$N$5:$N$234,0)</f>
        <v>3000</v>
      </c>
      <c r="N229" s="113">
        <f>_xlfn.XLOOKUP(G229,'Budget Worksheet'!$B$5:$B$234,'Budget Worksheet'!$P$5:$P$234,0)</f>
        <v>3000</v>
      </c>
      <c r="O229" s="113">
        <f>_xlfn.XLOOKUP(G229,'Budget Worksheet'!$B$4:$B$234,'Budget Worksheet'!$S$4:$S$234,0)</f>
        <v>3500</v>
      </c>
      <c r="P229" s="113">
        <f>_xlfn.XLOOKUP(G229,'Budget Worksheet'!$B$4:$B$234,'Budget Worksheet'!$U$4:$U$234,0)</f>
        <v>3500</v>
      </c>
      <c r="Q229" s="107">
        <f>MATCH(G229,'Budget Worksheet'!$B$5:$B$234,0)</f>
        <v>125</v>
      </c>
      <c r="R229" s="112">
        <f t="shared" si="16"/>
        <v>18900.771428571428</v>
      </c>
      <c r="S229" s="108"/>
    </row>
    <row r="230" spans="1:19" x14ac:dyDescent="0.25">
      <c r="A230" s="107">
        <v>219</v>
      </c>
      <c r="B230" s="105" t="s">
        <v>102</v>
      </c>
      <c r="C230" s="105" t="str">
        <f t="shared" si="17"/>
        <v>51</v>
      </c>
      <c r="D230" s="105">
        <v>500</v>
      </c>
      <c r="E230" s="106" t="s">
        <v>11</v>
      </c>
      <c r="F230" s="107" t="str">
        <f t="shared" si="19"/>
        <v>500 Repairs and Maintenance</v>
      </c>
      <c r="G230" s="105" t="s">
        <v>629</v>
      </c>
      <c r="H230" s="107" t="s">
        <v>313</v>
      </c>
      <c r="I230" s="112">
        <v>3000</v>
      </c>
      <c r="J230" s="113">
        <f>SUMIFS('Budget Worksheet'!$J$5:$J$234,'Budget Worksheet'!$B$5:$B$234,'Master Budget'!G230)</f>
        <v>3000</v>
      </c>
      <c r="K230" s="113">
        <f>_xlfn.XLOOKUP(G230,'Budget Worksheet'!$B$5:$B$234,'Budget Worksheet'!$G$5:$G$234,0)</f>
        <v>14547.84</v>
      </c>
      <c r="L230" s="113">
        <f>SUMIFS('Budget Worksheet'!$L$5:$L$234,'Budget Worksheet'!$B$5:$B$234,'Master Budget'!G230)</f>
        <v>3000</v>
      </c>
      <c r="M230" s="113">
        <f>_xlfn.XLOOKUP(G230,'Budget Worksheet'!$B$5:$B$234,'Budget Worksheet'!$N$5:$N$234,0)</f>
        <v>3000</v>
      </c>
      <c r="N230" s="113">
        <f>_xlfn.XLOOKUP(G230,'Budget Worksheet'!$B$5:$B$234,'Budget Worksheet'!$P$5:$P$234,0)</f>
        <v>3000</v>
      </c>
      <c r="O230" s="113">
        <f>_xlfn.XLOOKUP(G230,'Budget Worksheet'!$B$4:$B$234,'Budget Worksheet'!$S$4:$S$234,0)</f>
        <v>10000</v>
      </c>
      <c r="P230" s="113">
        <f>_xlfn.XLOOKUP(G230,'Budget Worksheet'!$B$4:$B$234,'Budget Worksheet'!$U$4:$U$234,0)</f>
        <v>5000</v>
      </c>
      <c r="Q230" s="107">
        <f>MATCH(G230,'Budget Worksheet'!$B$5:$B$234,0)</f>
        <v>126</v>
      </c>
      <c r="R230" s="112">
        <f t="shared" si="16"/>
        <v>29547.84</v>
      </c>
      <c r="S230" s="108"/>
    </row>
    <row r="231" spans="1:19" x14ac:dyDescent="0.25">
      <c r="A231" s="107">
        <v>220</v>
      </c>
      <c r="B231" s="105" t="s">
        <v>102</v>
      </c>
      <c r="C231" s="105" t="str">
        <f t="shared" si="17"/>
        <v>51</v>
      </c>
      <c r="D231" s="105">
        <v>500</v>
      </c>
      <c r="E231" s="106" t="s">
        <v>11</v>
      </c>
      <c r="F231" s="107" t="str">
        <f t="shared" si="19"/>
        <v>500 Repairs and Maintenance</v>
      </c>
      <c r="G231" s="177" t="s">
        <v>1079</v>
      </c>
      <c r="H231" s="178" t="s">
        <v>144</v>
      </c>
      <c r="I231" s="112">
        <v>0</v>
      </c>
      <c r="J231" s="113">
        <f>SUMIFS('Budget Worksheet'!$J$5:$J$234,'Budget Worksheet'!$B$5:$B$234,'Master Budget'!G231)</f>
        <v>0</v>
      </c>
      <c r="K231" s="113"/>
      <c r="L231" s="113">
        <f>SUMIFS('Budget Worksheet'!$L$5:$L$234,'Budget Worksheet'!$B$5:$B$234,'Master Budget'!G231)</f>
        <v>0</v>
      </c>
      <c r="M231" s="113">
        <f>_xlfn.XLOOKUP(G231,'Budget Worksheet'!$B$5:$B$234,'Budget Worksheet'!$N$5:$N$234,0)</f>
        <v>0</v>
      </c>
      <c r="N231" s="113">
        <f>_xlfn.XLOOKUP(G231,'Budget Worksheet'!$B$5:$B$234,'Budget Worksheet'!$P$5:$P$234,0)</f>
        <v>0</v>
      </c>
      <c r="O231" s="113">
        <f>_xlfn.XLOOKUP(G231,'Budget Worksheet'!$B$4:$B$234,'Budget Worksheet'!$S$4:$S$234,0)</f>
        <v>0</v>
      </c>
      <c r="P231" s="113">
        <f>_xlfn.XLOOKUP(G231,'Budget Worksheet'!$B$4:$B$234,'Budget Worksheet'!$U$4:$U$234,0)</f>
        <v>0</v>
      </c>
      <c r="Q231" s="107" t="e">
        <f>MATCH(G231,'Budget Worksheet'!$B$5:$B$234,0)</f>
        <v>#N/A</v>
      </c>
      <c r="R231" s="112">
        <f t="shared" si="16"/>
        <v>0</v>
      </c>
      <c r="S231" s="108"/>
    </row>
    <row r="232" spans="1:19" x14ac:dyDescent="0.25">
      <c r="A232" s="107">
        <v>221</v>
      </c>
      <c r="B232" s="105" t="s">
        <v>102</v>
      </c>
      <c r="C232" s="105" t="str">
        <f t="shared" si="17"/>
        <v>51</v>
      </c>
      <c r="D232" s="105">
        <v>200</v>
      </c>
      <c r="E232" s="106" t="s">
        <v>10</v>
      </c>
      <c r="F232" s="107" t="str">
        <f t="shared" si="19"/>
        <v>200 General and Administrative</v>
      </c>
      <c r="G232" s="105" t="s">
        <v>630</v>
      </c>
      <c r="H232" s="107" t="s">
        <v>498</v>
      </c>
      <c r="I232" s="112">
        <v>0</v>
      </c>
      <c r="J232" s="113">
        <f>SUMIFS('Budget Worksheet'!$J$5:$J$234,'Budget Worksheet'!$B$5:$B$234,'Master Budget'!G232)</f>
        <v>0</v>
      </c>
      <c r="K232" s="113"/>
      <c r="L232" s="113">
        <f>SUMIFS('Budget Worksheet'!$L$5:$L$234,'Budget Worksheet'!$B$5:$B$234,'Master Budget'!G232)</f>
        <v>0</v>
      </c>
      <c r="M232" s="113">
        <f>_xlfn.XLOOKUP(G232,'Budget Worksheet'!$B$5:$B$234,'Budget Worksheet'!$N$5:$N$234,0)</f>
        <v>0</v>
      </c>
      <c r="N232" s="113">
        <f>_xlfn.XLOOKUP(G232,'Budget Worksheet'!$B$5:$B$234,'Budget Worksheet'!$P$5:$P$234,0)</f>
        <v>0</v>
      </c>
      <c r="O232" s="113">
        <f>_xlfn.XLOOKUP(G232,'Budget Worksheet'!$B$4:$B$234,'Budget Worksheet'!$S$4:$S$234,0)</f>
        <v>0</v>
      </c>
      <c r="P232" s="113">
        <f>_xlfn.XLOOKUP(G232,'Budget Worksheet'!$B$4:$B$234,'Budget Worksheet'!$U$4:$U$234,0)</f>
        <v>0</v>
      </c>
      <c r="Q232" s="107">
        <f>MATCH(G232,'Budget Worksheet'!$B$5:$B$234,0)</f>
        <v>127</v>
      </c>
      <c r="R232" s="112">
        <f t="shared" si="16"/>
        <v>0</v>
      </c>
      <c r="S232" s="108"/>
    </row>
    <row r="233" spans="1:19" x14ac:dyDescent="0.25">
      <c r="A233" s="107">
        <v>222</v>
      </c>
      <c r="B233" s="105" t="s">
        <v>102</v>
      </c>
      <c r="C233" s="105" t="str">
        <f t="shared" si="17"/>
        <v>51</v>
      </c>
      <c r="D233" s="105">
        <v>200</v>
      </c>
      <c r="E233" s="106" t="s">
        <v>10</v>
      </c>
      <c r="F233" s="107" t="str">
        <f t="shared" si="19"/>
        <v>200 General and Administrative</v>
      </c>
      <c r="G233" s="105" t="s">
        <v>631</v>
      </c>
      <c r="H233" s="107" t="s">
        <v>322</v>
      </c>
      <c r="I233" s="112">
        <v>8100</v>
      </c>
      <c r="J233" s="113">
        <f>SUMIFS('Budget Worksheet'!$J$5:$J$234,'Budget Worksheet'!$B$5:$B$234,'Master Budget'!G233)</f>
        <v>8100</v>
      </c>
      <c r="K233" s="113">
        <f>_xlfn.XLOOKUP(G233,'Budget Worksheet'!$B$5:$B$234,'Budget Worksheet'!$G$5:$G$234,0)</f>
        <v>0</v>
      </c>
      <c r="L233" s="113">
        <f>SUMIFS('Budget Worksheet'!$L$5:$L$234,'Budget Worksheet'!$B$5:$B$234,'Master Budget'!G233)</f>
        <v>8100</v>
      </c>
      <c r="M233" s="113">
        <f>_xlfn.XLOOKUP(G233,'Budget Worksheet'!$B$5:$B$234,'Budget Worksheet'!$N$5:$N$234,0)</f>
        <v>8100</v>
      </c>
      <c r="N233" s="113">
        <f>_xlfn.XLOOKUP(G233,'Budget Worksheet'!$B$5:$B$234,'Budget Worksheet'!$P$5:$P$234,0)</f>
        <v>8100</v>
      </c>
      <c r="O233" s="113">
        <f>_xlfn.XLOOKUP(G233,'Budget Worksheet'!$B$4:$B$234,'Budget Worksheet'!$S$4:$S$234,0)</f>
        <v>0</v>
      </c>
      <c r="P233" s="113">
        <f>_xlfn.XLOOKUP(G233,'Budget Worksheet'!$B$4:$B$234,'Budget Worksheet'!$U$4:$U$234,0)</f>
        <v>0</v>
      </c>
      <c r="Q233" s="107">
        <f>MATCH(G233,'Budget Worksheet'!$B$5:$B$234,0)</f>
        <v>128</v>
      </c>
      <c r="R233" s="112">
        <f t="shared" si="16"/>
        <v>40500</v>
      </c>
      <c r="S233" s="108"/>
    </row>
    <row r="234" spans="1:19" x14ac:dyDescent="0.25">
      <c r="A234" s="107">
        <v>223</v>
      </c>
      <c r="B234" s="105" t="s">
        <v>102</v>
      </c>
      <c r="C234" s="105" t="str">
        <f t="shared" si="17"/>
        <v>51</v>
      </c>
      <c r="D234" s="105">
        <v>200</v>
      </c>
      <c r="E234" s="106" t="s">
        <v>10</v>
      </c>
      <c r="F234" s="107" t="str">
        <f t="shared" si="19"/>
        <v>200 General and Administrative</v>
      </c>
      <c r="G234" s="105" t="s">
        <v>632</v>
      </c>
      <c r="H234" s="107" t="s">
        <v>1080</v>
      </c>
      <c r="I234" s="112">
        <v>3900</v>
      </c>
      <c r="J234" s="113">
        <f>SUMIFS('Budget Worksheet'!$J$5:$J$234,'Budget Worksheet'!$B$5:$B$234,'Master Budget'!G234)</f>
        <v>3900</v>
      </c>
      <c r="K234" s="113">
        <f>_xlfn.XLOOKUP(G234,'Budget Worksheet'!$B$5:$B$234,'Budget Worksheet'!$G$5:$G$234,0)</f>
        <v>7538.2628571428577</v>
      </c>
      <c r="L234" s="113">
        <f>SUMIFS('Budget Worksheet'!$L$5:$L$234,'Budget Worksheet'!$B$5:$B$234,'Master Budget'!G234)</f>
        <v>3900</v>
      </c>
      <c r="M234" s="113">
        <f>_xlfn.XLOOKUP(G234,'Budget Worksheet'!$B$5:$B$234,'Budget Worksheet'!$N$5:$N$234,0)</f>
        <v>6000</v>
      </c>
      <c r="N234" s="113">
        <f>_xlfn.XLOOKUP(G234,'Budget Worksheet'!$B$5:$B$234,'Budget Worksheet'!$P$5:$P$234,0)</f>
        <v>6000</v>
      </c>
      <c r="O234" s="113">
        <f>_xlfn.XLOOKUP(G234,'Budget Worksheet'!$B$4:$B$234,'Budget Worksheet'!$S$4:$S$234,0)</f>
        <v>6000</v>
      </c>
      <c r="P234" s="113">
        <f>_xlfn.XLOOKUP(G234,'Budget Worksheet'!$B$4:$B$234,'Budget Worksheet'!$U$4:$U$234,0)</f>
        <v>6000</v>
      </c>
      <c r="Q234" s="107">
        <f>MATCH(G234,'Budget Worksheet'!$B$5:$B$234,0)</f>
        <v>129</v>
      </c>
      <c r="R234" s="112">
        <f t="shared" si="16"/>
        <v>31238.262857142858</v>
      </c>
      <c r="S234" s="108"/>
    </row>
    <row r="235" spans="1:19" x14ac:dyDescent="0.25">
      <c r="A235" s="107">
        <v>224</v>
      </c>
      <c r="B235" s="105" t="s">
        <v>102</v>
      </c>
      <c r="C235" s="105" t="str">
        <f t="shared" si="17"/>
        <v>51</v>
      </c>
      <c r="D235" s="105">
        <v>200</v>
      </c>
      <c r="E235" s="106" t="s">
        <v>10</v>
      </c>
      <c r="F235" s="107" t="str">
        <f t="shared" si="19"/>
        <v>200 General and Administrative</v>
      </c>
      <c r="G235" s="105" t="s">
        <v>634</v>
      </c>
      <c r="H235" s="107" t="s">
        <v>1069</v>
      </c>
      <c r="I235" s="112">
        <v>1200</v>
      </c>
      <c r="J235" s="113">
        <f>SUMIFS('Budget Worksheet'!$J$5:$J$234,'Budget Worksheet'!$B$5:$B$234,'Master Budget'!G235)</f>
        <v>1200</v>
      </c>
      <c r="K235" s="113">
        <f>_xlfn.XLOOKUP(G235,'Budget Worksheet'!$B$5:$B$234,'Budget Worksheet'!$G$5:$G$234,0)</f>
        <v>2911.2342857142858</v>
      </c>
      <c r="L235" s="113">
        <f>SUMIFS('Budget Worksheet'!$L$5:$L$234,'Budget Worksheet'!$B$5:$B$234,'Master Budget'!G235)</f>
        <v>1200</v>
      </c>
      <c r="M235" s="113">
        <f>_xlfn.XLOOKUP(G235,'Budget Worksheet'!$B$5:$B$234,'Budget Worksheet'!$N$5:$N$234,0)</f>
        <v>1600</v>
      </c>
      <c r="N235" s="113">
        <f>_xlfn.XLOOKUP(G235,'Budget Worksheet'!$B$5:$B$234,'Budget Worksheet'!$P$5:$P$234,0)</f>
        <v>1600</v>
      </c>
      <c r="O235" s="113">
        <f>_xlfn.XLOOKUP(G235,'Budget Worksheet'!$B$4:$B$234,'Budget Worksheet'!$S$4:$S$234,0)</f>
        <v>2000</v>
      </c>
      <c r="P235" s="113">
        <f>_xlfn.XLOOKUP(G235,'Budget Worksheet'!$B$4:$B$234,'Budget Worksheet'!$U$4:$U$234,0)</f>
        <v>2000</v>
      </c>
      <c r="Q235" s="107">
        <f>MATCH(G235,'Budget Worksheet'!$B$5:$B$234,0)</f>
        <v>130</v>
      </c>
      <c r="R235" s="112">
        <f t="shared" si="16"/>
        <v>9711.2342857142867</v>
      </c>
      <c r="S235" s="108"/>
    </row>
    <row r="236" spans="1:19" x14ac:dyDescent="0.25">
      <c r="A236" s="107">
        <v>225</v>
      </c>
      <c r="B236" s="105" t="s">
        <v>102</v>
      </c>
      <c r="C236" s="105" t="str">
        <f t="shared" si="17"/>
        <v>51</v>
      </c>
      <c r="D236" s="105">
        <v>200</v>
      </c>
      <c r="E236" s="106" t="s">
        <v>10</v>
      </c>
      <c r="F236" s="107" t="str">
        <f t="shared" si="19"/>
        <v>200 General and Administrative</v>
      </c>
      <c r="G236" s="177" t="s">
        <v>1081</v>
      </c>
      <c r="H236" s="178" t="s">
        <v>1063</v>
      </c>
      <c r="I236" s="112">
        <v>0</v>
      </c>
      <c r="J236" s="113">
        <f>SUMIFS('Budget Worksheet'!$J$5:$J$234,'Budget Worksheet'!$B$5:$B$234,'Master Budget'!G236)</f>
        <v>0</v>
      </c>
      <c r="K236" s="113"/>
      <c r="L236" s="113">
        <f>SUMIFS('Budget Worksheet'!$L$5:$L$234,'Budget Worksheet'!$B$5:$B$234,'Master Budget'!G236)</f>
        <v>0</v>
      </c>
      <c r="M236" s="113">
        <f>_xlfn.XLOOKUP(G236,'Budget Worksheet'!$B$5:$B$234,'Budget Worksheet'!$N$5:$N$234,0)</f>
        <v>0</v>
      </c>
      <c r="N236" s="113">
        <f>_xlfn.XLOOKUP(G236,'Budget Worksheet'!$B$5:$B$234,'Budget Worksheet'!$P$5:$P$234,0)</f>
        <v>0</v>
      </c>
      <c r="O236" s="113">
        <f>_xlfn.XLOOKUP(G236,'Budget Worksheet'!$B$4:$B$234,'Budget Worksheet'!$S$4:$S$234,0)</f>
        <v>0</v>
      </c>
      <c r="P236" s="113">
        <f>_xlfn.XLOOKUP(G236,'Budget Worksheet'!$B$4:$B$234,'Budget Worksheet'!$U$4:$U$234,0)</f>
        <v>0</v>
      </c>
      <c r="Q236" s="107" t="e">
        <f>MATCH(G236,'Budget Worksheet'!$B$5:$B$234,0)</f>
        <v>#N/A</v>
      </c>
      <c r="R236" s="112">
        <f t="shared" si="16"/>
        <v>0</v>
      </c>
      <c r="S236" s="108"/>
    </row>
    <row r="237" spans="1:19" x14ac:dyDescent="0.25">
      <c r="A237" s="107">
        <v>226</v>
      </c>
      <c r="B237" s="105" t="s">
        <v>102</v>
      </c>
      <c r="C237" s="105" t="str">
        <f t="shared" si="17"/>
        <v>51</v>
      </c>
      <c r="D237" s="105">
        <v>200</v>
      </c>
      <c r="E237" s="106" t="s">
        <v>10</v>
      </c>
      <c r="F237" s="107" t="str">
        <f t="shared" si="19"/>
        <v>200 General and Administrative</v>
      </c>
      <c r="G237" s="105" t="s">
        <v>635</v>
      </c>
      <c r="H237" s="107" t="s">
        <v>1082</v>
      </c>
      <c r="I237" s="112">
        <v>1000</v>
      </c>
      <c r="J237" s="113">
        <f>SUMIFS('Budget Worksheet'!$J$5:$J$234,'Budget Worksheet'!$B$5:$B$234,'Master Budget'!G237)</f>
        <v>1200</v>
      </c>
      <c r="K237" s="113">
        <f>_xlfn.XLOOKUP(G237,'Budget Worksheet'!$B$5:$B$234,'Budget Worksheet'!$G$5:$G$234,0)</f>
        <v>918.4457142857143</v>
      </c>
      <c r="L237" s="113">
        <f>SUMIFS('Budget Worksheet'!$L$5:$L$234,'Budget Worksheet'!$B$5:$B$234,'Master Budget'!G237)</f>
        <v>1200</v>
      </c>
      <c r="M237" s="113">
        <f>_xlfn.XLOOKUP(G237,'Budget Worksheet'!$B$5:$B$234,'Budget Worksheet'!$N$5:$N$234,0)</f>
        <v>1500</v>
      </c>
      <c r="N237" s="113">
        <f>_xlfn.XLOOKUP(G237,'Budget Worksheet'!$B$5:$B$234,'Budget Worksheet'!$P$5:$P$234,0)</f>
        <v>1500</v>
      </c>
      <c r="O237" s="113">
        <f>_xlfn.XLOOKUP(G237,'Budget Worksheet'!$B$4:$B$234,'Budget Worksheet'!$S$4:$S$234,0)</f>
        <v>1500</v>
      </c>
      <c r="P237" s="113">
        <f>_xlfn.XLOOKUP(G237,'Budget Worksheet'!$B$4:$B$234,'Budget Worksheet'!$U$4:$U$234,0)</f>
        <v>1500</v>
      </c>
      <c r="Q237" s="107">
        <f>MATCH(G237,'Budget Worksheet'!$B$5:$B$234,0)</f>
        <v>131</v>
      </c>
      <c r="R237" s="112">
        <f t="shared" si="16"/>
        <v>7318.4457142857145</v>
      </c>
      <c r="S237" s="108"/>
    </row>
    <row r="238" spans="1:19" x14ac:dyDescent="0.25">
      <c r="A238" s="107">
        <v>227</v>
      </c>
      <c r="B238" s="105" t="s">
        <v>102</v>
      </c>
      <c r="C238" s="105" t="str">
        <f t="shared" si="17"/>
        <v>51</v>
      </c>
      <c r="D238" s="105">
        <v>200</v>
      </c>
      <c r="E238" s="106" t="s">
        <v>10</v>
      </c>
      <c r="F238" s="107" t="str">
        <f t="shared" si="19"/>
        <v>200 General and Administrative</v>
      </c>
      <c r="G238" s="105" t="s">
        <v>637</v>
      </c>
      <c r="H238" s="107" t="s">
        <v>162</v>
      </c>
      <c r="I238" s="112">
        <v>0</v>
      </c>
      <c r="J238" s="113">
        <f>SUMIFS('Budget Worksheet'!$J$5:$J$234,'Budget Worksheet'!$B$5:$B$234,'Master Budget'!G238)</f>
        <v>0</v>
      </c>
      <c r="K238" s="113">
        <f>_xlfn.XLOOKUP(G238,'Budget Worksheet'!$B$5:$B$234,'Budget Worksheet'!$G$5:$G$234,0)</f>
        <v>1154.76</v>
      </c>
      <c r="L238" s="113">
        <f>SUMIFS('Budget Worksheet'!$L$5:$L$234,'Budget Worksheet'!$B$5:$B$234,'Master Budget'!G238)</f>
        <v>0</v>
      </c>
      <c r="M238" s="113">
        <f>_xlfn.XLOOKUP(G238,'Budget Worksheet'!$B$5:$B$234,'Budget Worksheet'!$N$5:$N$234,0)</f>
        <v>1000</v>
      </c>
      <c r="N238" s="113">
        <f>_xlfn.XLOOKUP(G238,'Budget Worksheet'!$B$5:$B$234,'Budget Worksheet'!$P$5:$P$234,0)</f>
        <v>1000</v>
      </c>
      <c r="O238" s="113">
        <f>_xlfn.XLOOKUP(G238,'Budget Worksheet'!$B$4:$B$234,'Budget Worksheet'!$S$4:$S$234,0)</f>
        <v>1000</v>
      </c>
      <c r="P238" s="113">
        <f>_xlfn.XLOOKUP(G238,'Budget Worksheet'!$B$4:$B$234,'Budget Worksheet'!$U$4:$U$234,0)</f>
        <v>1000</v>
      </c>
      <c r="Q238" s="107">
        <f>MATCH(G238,'Budget Worksheet'!$B$5:$B$234,0)</f>
        <v>132</v>
      </c>
      <c r="R238" s="112">
        <f t="shared" si="16"/>
        <v>3154.76</v>
      </c>
      <c r="S238" s="108"/>
    </row>
    <row r="239" spans="1:19" x14ac:dyDescent="0.25">
      <c r="A239" s="107">
        <v>228</v>
      </c>
      <c r="B239" s="105" t="s">
        <v>102</v>
      </c>
      <c r="C239" s="105" t="str">
        <f t="shared" si="17"/>
        <v>51</v>
      </c>
      <c r="D239" s="105">
        <v>200</v>
      </c>
      <c r="E239" s="106" t="s">
        <v>10</v>
      </c>
      <c r="F239" s="107" t="str">
        <f t="shared" si="19"/>
        <v>200 General and Administrative</v>
      </c>
      <c r="G239" s="105" t="s">
        <v>638</v>
      </c>
      <c r="H239" s="107" t="s">
        <v>348</v>
      </c>
      <c r="I239" s="112">
        <v>1300</v>
      </c>
      <c r="J239" s="113">
        <f>SUMIFS('Budget Worksheet'!$J$5:$J$234,'Budget Worksheet'!$B$5:$B$234,'Master Budget'!G239)</f>
        <v>1300</v>
      </c>
      <c r="K239" s="113">
        <f>_xlfn.XLOOKUP(G239,'Budget Worksheet'!$B$5:$B$234,'Budget Worksheet'!$G$5:$G$234,0)</f>
        <v>736.78285714285721</v>
      </c>
      <c r="L239" s="113">
        <f>SUMIFS('Budget Worksheet'!$L$5:$L$234,'Budget Worksheet'!$B$5:$B$234,'Master Budget'!G239)</f>
        <v>1500</v>
      </c>
      <c r="M239" s="113">
        <f>_xlfn.XLOOKUP(G239,'Budget Worksheet'!$B$5:$B$234,'Budget Worksheet'!$N$5:$N$234,0)</f>
        <v>1500</v>
      </c>
      <c r="N239" s="113">
        <f>_xlfn.XLOOKUP(G239,'Budget Worksheet'!$B$5:$B$234,'Budget Worksheet'!$P$5:$P$234,0)</f>
        <v>1500</v>
      </c>
      <c r="O239" s="113">
        <f>_xlfn.XLOOKUP(G239,'Budget Worksheet'!$B$4:$B$234,'Budget Worksheet'!$S$4:$S$234,0)</f>
        <v>2000</v>
      </c>
      <c r="P239" s="113">
        <f>_xlfn.XLOOKUP(G239,'Budget Worksheet'!$B$4:$B$234,'Budget Worksheet'!$U$4:$U$234,0)</f>
        <v>2000</v>
      </c>
      <c r="Q239" s="107">
        <f>MATCH(G239,'Budget Worksheet'!$B$5:$B$234,0)</f>
        <v>133</v>
      </c>
      <c r="R239" s="112">
        <f t="shared" si="16"/>
        <v>7836.7828571428572</v>
      </c>
      <c r="S239" s="108"/>
    </row>
    <row r="240" spans="1:19" x14ac:dyDescent="0.25">
      <c r="A240" s="107">
        <v>229</v>
      </c>
      <c r="B240" s="105" t="s">
        <v>102</v>
      </c>
      <c r="C240" s="105" t="str">
        <f t="shared" si="17"/>
        <v>51</v>
      </c>
      <c r="D240" s="105">
        <v>200</v>
      </c>
      <c r="E240" s="106" t="s">
        <v>10</v>
      </c>
      <c r="F240" s="107" t="str">
        <f t="shared" si="19"/>
        <v>200 General and Administrative</v>
      </c>
      <c r="G240" s="105" t="s">
        <v>639</v>
      </c>
      <c r="H240" s="107" t="s">
        <v>130</v>
      </c>
      <c r="I240" s="112">
        <v>40000</v>
      </c>
      <c r="J240" s="113">
        <f>SUMIFS('Budget Worksheet'!$J$5:$J$234,'Budget Worksheet'!$B$5:$B$234,'Master Budget'!G240)</f>
        <v>40000</v>
      </c>
      <c r="K240" s="113">
        <f>_xlfn.XLOOKUP(G240,'Budget Worksheet'!$B$5:$B$234,'Budget Worksheet'!$G$5:$G$234,0)</f>
        <v>29037.651428571429</v>
      </c>
      <c r="L240" s="113">
        <f>SUMIFS('Budget Worksheet'!$L$5:$L$234,'Budget Worksheet'!$B$5:$B$234,'Master Budget'!G240)</f>
        <v>40000</v>
      </c>
      <c r="M240" s="113">
        <f>_xlfn.XLOOKUP(G240,'Budget Worksheet'!$B$5:$B$234,'Budget Worksheet'!$N$5:$N$234,0)</f>
        <v>100000</v>
      </c>
      <c r="N240" s="113">
        <f>_xlfn.XLOOKUP(G240,'Budget Worksheet'!$B$5:$B$234,'Budget Worksheet'!$P$5:$P$234,0)</f>
        <v>100000</v>
      </c>
      <c r="O240" s="113">
        <f>_xlfn.XLOOKUP(G240,'Budget Worksheet'!$B$4:$B$234,'Budget Worksheet'!$S$4:$S$234,0)</f>
        <v>100000</v>
      </c>
      <c r="P240" s="113">
        <f>_xlfn.XLOOKUP(G240,'Budget Worksheet'!$B$4:$B$234,'Budget Worksheet'!$U$4:$U$234,0)</f>
        <v>100000</v>
      </c>
      <c r="Q240" s="107">
        <f>MATCH(G240,'Budget Worksheet'!$B$5:$B$234,0)</f>
        <v>134</v>
      </c>
      <c r="R240" s="112">
        <f t="shared" si="16"/>
        <v>349037.65142857144</v>
      </c>
      <c r="S240" s="108"/>
    </row>
    <row r="241" spans="1:19" x14ac:dyDescent="0.25">
      <c r="A241" s="107">
        <v>230</v>
      </c>
      <c r="B241" s="105" t="s">
        <v>102</v>
      </c>
      <c r="C241" s="105" t="str">
        <f t="shared" si="17"/>
        <v>51</v>
      </c>
      <c r="D241" s="105">
        <v>200</v>
      </c>
      <c r="E241" s="106" t="s">
        <v>10</v>
      </c>
      <c r="F241" s="107" t="str">
        <f t="shared" si="19"/>
        <v>200 General and Administrative</v>
      </c>
      <c r="G241" s="105" t="s">
        <v>641</v>
      </c>
      <c r="H241" s="107" t="s">
        <v>1083</v>
      </c>
      <c r="I241" s="112">
        <v>8500</v>
      </c>
      <c r="J241" s="113">
        <f>SUMIFS('Budget Worksheet'!$J$5:$J$234,'Budget Worksheet'!$B$5:$B$234,'Master Budget'!G241)</f>
        <v>14000</v>
      </c>
      <c r="K241" s="113">
        <f>_xlfn.XLOOKUP(G241,'Budget Worksheet'!$B$5:$B$234,'Budget Worksheet'!$G$5:$G$234,0)</f>
        <v>7038.017142857143</v>
      </c>
      <c r="L241" s="113">
        <f>SUMIFS('Budget Worksheet'!$L$5:$L$234,'Budget Worksheet'!$B$5:$B$234,'Master Budget'!G241)</f>
        <v>14000</v>
      </c>
      <c r="M241" s="113">
        <f>_xlfn.XLOOKUP(G241,'Budget Worksheet'!$B$5:$B$234,'Budget Worksheet'!$N$5:$N$234,0)</f>
        <v>14000</v>
      </c>
      <c r="N241" s="113">
        <f>_xlfn.XLOOKUP(G241,'Budget Worksheet'!$B$5:$B$234,'Budget Worksheet'!$P$5:$P$234,0)</f>
        <v>14000</v>
      </c>
      <c r="O241" s="113">
        <f>_xlfn.XLOOKUP(G241,'Budget Worksheet'!$B$4:$B$234,'Budget Worksheet'!$S$4:$S$234,0)</f>
        <v>14000</v>
      </c>
      <c r="P241" s="113">
        <f>_xlfn.XLOOKUP(G241,'Budget Worksheet'!$B$4:$B$234,'Budget Worksheet'!$U$4:$U$234,0)</f>
        <v>14000</v>
      </c>
      <c r="Q241" s="107">
        <f>MATCH(G241,'Budget Worksheet'!$B$5:$B$234,0)</f>
        <v>136</v>
      </c>
      <c r="R241" s="112">
        <f t="shared" si="16"/>
        <v>71538.017142857134</v>
      </c>
      <c r="S241" s="108"/>
    </row>
    <row r="242" spans="1:19" x14ac:dyDescent="0.25">
      <c r="A242" s="107">
        <v>231</v>
      </c>
      <c r="B242" s="105" t="s">
        <v>102</v>
      </c>
      <c r="C242" s="105" t="str">
        <f t="shared" si="17"/>
        <v>51</v>
      </c>
      <c r="D242" s="105">
        <v>200</v>
      </c>
      <c r="E242" s="106" t="s">
        <v>10</v>
      </c>
      <c r="F242" s="107" t="str">
        <f t="shared" si="19"/>
        <v>200 General and Administrative</v>
      </c>
      <c r="G242" s="105" t="s">
        <v>643</v>
      </c>
      <c r="H242" s="107" t="s">
        <v>766</v>
      </c>
      <c r="I242" s="112">
        <v>1000</v>
      </c>
      <c r="J242" s="113">
        <f>SUMIFS('Budget Worksheet'!$J$5:$J$234,'Budget Worksheet'!$B$5:$B$234,'Master Budget'!G242)</f>
        <v>1000</v>
      </c>
      <c r="K242" s="113">
        <f>_xlfn.XLOOKUP(G242,'Budget Worksheet'!$B$5:$B$234,'Budget Worksheet'!$G$5:$G$234,0)</f>
        <v>0</v>
      </c>
      <c r="L242" s="113">
        <f>SUMIFS('Budget Worksheet'!$L$5:$L$234,'Budget Worksheet'!$B$5:$B$234,'Master Budget'!G242)</f>
        <v>1000</v>
      </c>
      <c r="M242" s="113">
        <f>_xlfn.XLOOKUP(G242,'Budget Worksheet'!$B$5:$B$234,'Budget Worksheet'!$N$5:$N$234,0)</f>
        <v>1000</v>
      </c>
      <c r="N242" s="113">
        <f>_xlfn.XLOOKUP(G242,'Budget Worksheet'!$B$5:$B$234,'Budget Worksheet'!$P$5:$P$234,0)</f>
        <v>1000</v>
      </c>
      <c r="O242" s="113">
        <f>_xlfn.XLOOKUP(G242,'Budget Worksheet'!$B$4:$B$234,'Budget Worksheet'!$S$4:$S$234,0)</f>
        <v>1000</v>
      </c>
      <c r="P242" s="113">
        <f>_xlfn.XLOOKUP(G242,'Budget Worksheet'!$B$4:$B$234,'Budget Worksheet'!$U$4:$U$234,0)</f>
        <v>7000</v>
      </c>
      <c r="Q242" s="107">
        <f>MATCH(G242,'Budget Worksheet'!$B$5:$B$234,0)</f>
        <v>137</v>
      </c>
      <c r="R242" s="112">
        <f t="shared" si="16"/>
        <v>5000</v>
      </c>
      <c r="S242" s="108"/>
    </row>
    <row r="243" spans="1:19" x14ac:dyDescent="0.25">
      <c r="A243" s="107">
        <v>232</v>
      </c>
      <c r="B243" s="105" t="s">
        <v>102</v>
      </c>
      <c r="C243" s="105" t="str">
        <f t="shared" si="17"/>
        <v>51</v>
      </c>
      <c r="D243" s="105">
        <v>200</v>
      </c>
      <c r="E243" s="106" t="s">
        <v>10</v>
      </c>
      <c r="F243" s="107" t="str">
        <f t="shared" si="19"/>
        <v>200 General and Administrative</v>
      </c>
      <c r="G243" s="105" t="s">
        <v>645</v>
      </c>
      <c r="H243" s="107" t="s">
        <v>646</v>
      </c>
      <c r="I243" s="112">
        <v>4000</v>
      </c>
      <c r="J243" s="113">
        <f>SUMIFS('Budget Worksheet'!$J$5:$J$234,'Budget Worksheet'!$B$5:$B$234,'Master Budget'!G243)</f>
        <v>4000</v>
      </c>
      <c r="K243" s="113">
        <f>_xlfn.XLOOKUP(G243,'Budget Worksheet'!$B$5:$B$234,'Budget Worksheet'!$G$5:$G$234,0)</f>
        <v>3161.2628571428572</v>
      </c>
      <c r="L243" s="113">
        <f>SUMIFS('Budget Worksheet'!$L$5:$L$234,'Budget Worksheet'!$B$5:$B$234,'Master Budget'!G243)</f>
        <v>4000</v>
      </c>
      <c r="M243" s="113">
        <f>_xlfn.XLOOKUP(G243,'Budget Worksheet'!$B$5:$B$234,'Budget Worksheet'!$N$5:$N$234,0)</f>
        <v>4000</v>
      </c>
      <c r="N243" s="113">
        <f>_xlfn.XLOOKUP(G243,'Budget Worksheet'!$B$5:$B$234,'Budget Worksheet'!$P$5:$P$234,0)</f>
        <v>4000</v>
      </c>
      <c r="O243" s="113">
        <f>_xlfn.XLOOKUP(G243,'Budget Worksheet'!$B$4:$B$234,'Budget Worksheet'!$S$4:$S$234,0)</f>
        <v>4000</v>
      </c>
      <c r="P243" s="113">
        <f>_xlfn.XLOOKUP(G243,'Budget Worksheet'!$B$4:$B$234,'Budget Worksheet'!$U$4:$U$234,0)</f>
        <v>4000</v>
      </c>
      <c r="Q243" s="107">
        <f>MATCH(G243,'Budget Worksheet'!$B$5:$B$234,0)</f>
        <v>138</v>
      </c>
      <c r="R243" s="112">
        <f t="shared" si="16"/>
        <v>23161.262857142858</v>
      </c>
      <c r="S243" s="108"/>
    </row>
    <row r="244" spans="1:19" x14ac:dyDescent="0.25">
      <c r="A244" s="107">
        <v>233</v>
      </c>
      <c r="B244" s="105" t="s">
        <v>102</v>
      </c>
      <c r="C244" s="105" t="str">
        <f t="shared" si="17"/>
        <v>51</v>
      </c>
      <c r="D244" s="105">
        <v>500</v>
      </c>
      <c r="E244" s="106" t="s">
        <v>11</v>
      </c>
      <c r="F244" s="107" t="str">
        <f t="shared" si="19"/>
        <v>500 Repairs and Maintenance</v>
      </c>
      <c r="G244" s="105" t="s">
        <v>648</v>
      </c>
      <c r="H244" s="107" t="s">
        <v>432</v>
      </c>
      <c r="I244" s="112">
        <v>35000</v>
      </c>
      <c r="J244" s="113">
        <f>SUMIFS('Budget Worksheet'!$J$5:$J$234,'Budget Worksheet'!$B$5:$B$234,'Master Budget'!G244)</f>
        <v>35000</v>
      </c>
      <c r="K244" s="113">
        <f>_xlfn.XLOOKUP(G244,'Budget Worksheet'!$B$5:$B$234,'Budget Worksheet'!$G$5:$G$234,0)</f>
        <v>28412.931428571428</v>
      </c>
      <c r="L244" s="113">
        <f>SUMIFS('Budget Worksheet'!$L$5:$L$234,'Budget Worksheet'!$B$5:$B$234,'Master Budget'!G244)</f>
        <v>35000</v>
      </c>
      <c r="M244" s="113">
        <f>_xlfn.XLOOKUP(G244,'Budget Worksheet'!$B$5:$B$234,'Budget Worksheet'!$N$5:$N$234,0)</f>
        <v>35000</v>
      </c>
      <c r="N244" s="113">
        <f>_xlfn.XLOOKUP(G244,'Budget Worksheet'!$B$5:$B$234,'Budget Worksheet'!$P$5:$P$234,0)</f>
        <v>35000</v>
      </c>
      <c r="O244" s="113">
        <f>_xlfn.XLOOKUP(G244,'Budget Worksheet'!$B$4:$B$234,'Budget Worksheet'!$S$4:$S$234,0)</f>
        <v>45000</v>
      </c>
      <c r="P244" s="113">
        <f>_xlfn.XLOOKUP(G244,'Budget Worksheet'!$B$4:$B$234,'Budget Worksheet'!$U$4:$U$234,0)</f>
        <v>45000</v>
      </c>
      <c r="Q244" s="107">
        <f>MATCH(G244,'Budget Worksheet'!$B$5:$B$234,0)</f>
        <v>140</v>
      </c>
      <c r="R244" s="112">
        <f t="shared" si="16"/>
        <v>203412.93142857144</v>
      </c>
      <c r="S244" s="108"/>
    </row>
    <row r="245" spans="1:19" x14ac:dyDescent="0.25">
      <c r="A245" s="107">
        <v>234</v>
      </c>
      <c r="B245" s="105" t="s">
        <v>102</v>
      </c>
      <c r="C245" s="105" t="str">
        <f t="shared" si="17"/>
        <v>51</v>
      </c>
      <c r="D245" s="105">
        <v>500</v>
      </c>
      <c r="E245" s="106" t="s">
        <v>11</v>
      </c>
      <c r="F245" s="107" t="str">
        <f t="shared" si="19"/>
        <v>500 Repairs and Maintenance</v>
      </c>
      <c r="G245" s="105" t="s">
        <v>649</v>
      </c>
      <c r="H245" s="107" t="s">
        <v>1084</v>
      </c>
      <c r="I245" s="112">
        <v>60000</v>
      </c>
      <c r="J245" s="113">
        <f>SUMIFS('Budget Worksheet'!$J$5:$J$234,'Budget Worksheet'!$B$5:$B$234,'Master Budget'!G245)</f>
        <v>60000</v>
      </c>
      <c r="K245" s="113">
        <f>_xlfn.XLOOKUP(G245,'Budget Worksheet'!$B$5:$B$234,'Budget Worksheet'!$G$5:$G$234,0)</f>
        <v>77869.868571428568</v>
      </c>
      <c r="L245" s="113">
        <f>SUMIFS('Budget Worksheet'!$L$5:$L$234,'Budget Worksheet'!$B$5:$B$234,'Master Budget'!G245)</f>
        <v>60000</v>
      </c>
      <c r="M245" s="113">
        <f>_xlfn.XLOOKUP(G245,'Budget Worksheet'!$B$5:$B$234,'Budget Worksheet'!$N$5:$N$234,0)</f>
        <v>60000</v>
      </c>
      <c r="N245" s="113">
        <f>_xlfn.XLOOKUP(G245,'Budget Worksheet'!$B$5:$B$234,'Budget Worksheet'!$P$5:$P$234,0)</f>
        <v>60000</v>
      </c>
      <c r="O245" s="113">
        <f>_xlfn.XLOOKUP(G245,'Budget Worksheet'!$B$4:$B$234,'Budget Worksheet'!$S$4:$S$234,0)</f>
        <v>60000</v>
      </c>
      <c r="P245" s="113">
        <f>_xlfn.XLOOKUP(G245,'Budget Worksheet'!$B$4:$B$234,'Budget Worksheet'!$U$4:$U$234,0)</f>
        <v>60000</v>
      </c>
      <c r="Q245" s="107">
        <f>MATCH(G245,'Budget Worksheet'!$B$5:$B$234,0)</f>
        <v>141</v>
      </c>
      <c r="R245" s="112">
        <f t="shared" si="16"/>
        <v>377869.86857142858</v>
      </c>
      <c r="S245" s="108"/>
    </row>
    <row r="246" spans="1:19" x14ac:dyDescent="0.25">
      <c r="A246" s="107">
        <v>235</v>
      </c>
      <c r="B246" s="105" t="s">
        <v>102</v>
      </c>
      <c r="C246" s="105" t="str">
        <f t="shared" si="17"/>
        <v>51</v>
      </c>
      <c r="D246" s="105">
        <v>200</v>
      </c>
      <c r="E246" s="106" t="s">
        <v>10</v>
      </c>
      <c r="F246" s="107" t="str">
        <f t="shared" si="19"/>
        <v>200 General and Administrative</v>
      </c>
      <c r="G246" s="105" t="s">
        <v>651</v>
      </c>
      <c r="H246" s="107" t="s">
        <v>652</v>
      </c>
      <c r="I246" s="112">
        <v>0</v>
      </c>
      <c r="J246" s="113">
        <f>SUMIFS('Budget Worksheet'!$J$5:$J$234,'Budget Worksheet'!$B$5:$B$234,'Master Budget'!G246)</f>
        <v>0</v>
      </c>
      <c r="K246" s="113"/>
      <c r="L246" s="113">
        <f>SUMIFS('Budget Worksheet'!$L$5:$L$234,'Budget Worksheet'!$B$5:$B$234,'Master Budget'!G246)</f>
        <v>0</v>
      </c>
      <c r="M246" s="113">
        <f>_xlfn.XLOOKUP(G246,'Budget Worksheet'!$B$5:$B$234,'Budget Worksheet'!$N$5:$N$234,0)</f>
        <v>0</v>
      </c>
      <c r="N246" s="113">
        <f>_xlfn.XLOOKUP(G246,'Budget Worksheet'!$B$5:$B$234,'Budget Worksheet'!$P$5:$P$234,0)</f>
        <v>0</v>
      </c>
      <c r="O246" s="113">
        <f>_xlfn.XLOOKUP(G246,'Budget Worksheet'!$B$4:$B$234,'Budget Worksheet'!$S$4:$S$234,0)</f>
        <v>0</v>
      </c>
      <c r="P246" s="113">
        <f>_xlfn.XLOOKUP(G246,'Budget Worksheet'!$B$4:$B$234,'Budget Worksheet'!$U$4:$U$234,0)</f>
        <v>0</v>
      </c>
      <c r="Q246" s="107">
        <f>MATCH(G246,'Budget Worksheet'!$B$5:$B$234,0)</f>
        <v>142</v>
      </c>
      <c r="R246" s="112">
        <f t="shared" si="16"/>
        <v>0</v>
      </c>
      <c r="S246" s="108"/>
    </row>
    <row r="247" spans="1:19" x14ac:dyDescent="0.25">
      <c r="A247" s="107">
        <v>236</v>
      </c>
      <c r="B247" s="105" t="s">
        <v>102</v>
      </c>
      <c r="C247" s="105" t="str">
        <f t="shared" si="17"/>
        <v>51</v>
      </c>
      <c r="D247" s="105">
        <v>200</v>
      </c>
      <c r="E247" s="106" t="s">
        <v>10</v>
      </c>
      <c r="F247" s="107" t="str">
        <f t="shared" si="19"/>
        <v>200 General and Administrative</v>
      </c>
      <c r="G247" s="105" t="s">
        <v>653</v>
      </c>
      <c r="H247" s="107" t="s">
        <v>654</v>
      </c>
      <c r="I247" s="112">
        <v>5712</v>
      </c>
      <c r="J247" s="113">
        <f>SUMIFS('Budget Worksheet'!$J$5:$J$234,'Budget Worksheet'!$B$5:$B$234,'Master Budget'!G247)</f>
        <v>5712</v>
      </c>
      <c r="K247" s="113">
        <f>_xlfn.XLOOKUP(G247,'Budget Worksheet'!$B$5:$B$234,'Budget Worksheet'!$G$5:$G$234,0)</f>
        <v>24349.01142857143</v>
      </c>
      <c r="L247" s="113">
        <f>SUMIFS('Budget Worksheet'!$L$5:$L$234,'Budget Worksheet'!$B$5:$B$234,'Master Budget'!G247)</f>
        <v>5712</v>
      </c>
      <c r="M247" s="113">
        <f>_xlfn.XLOOKUP(G247,'Budget Worksheet'!$B$5:$B$234,'Budget Worksheet'!$N$5:$N$234,0)</f>
        <v>6500</v>
      </c>
      <c r="N247" s="113">
        <f>_xlfn.XLOOKUP(G247,'Budget Worksheet'!$B$5:$B$234,'Budget Worksheet'!$P$5:$P$234,0)</f>
        <v>8000</v>
      </c>
      <c r="O247" s="113">
        <f>_xlfn.XLOOKUP(G247,'Budget Worksheet'!$B$4:$B$234,'Budget Worksheet'!$S$4:$S$234,0)</f>
        <v>22000</v>
      </c>
      <c r="P247" s="113">
        <f>_xlfn.XLOOKUP(G247,'Budget Worksheet'!$B$4:$B$234,'Budget Worksheet'!$U$4:$U$234,0)</f>
        <v>22000</v>
      </c>
      <c r="Q247" s="107">
        <f>MATCH(G247,'Budget Worksheet'!$B$5:$B$234,0)</f>
        <v>143</v>
      </c>
      <c r="R247" s="112">
        <f t="shared" si="16"/>
        <v>55985.01142857143</v>
      </c>
      <c r="S247" s="108"/>
    </row>
    <row r="248" spans="1:19" x14ac:dyDescent="0.25">
      <c r="A248" s="107">
        <v>237</v>
      </c>
      <c r="B248" s="105" t="s">
        <v>102</v>
      </c>
      <c r="C248" s="105" t="str">
        <f t="shared" si="17"/>
        <v>51</v>
      </c>
      <c r="D248" s="105">
        <v>200</v>
      </c>
      <c r="E248" s="106" t="s">
        <v>10</v>
      </c>
      <c r="F248" s="107" t="str">
        <f t="shared" si="19"/>
        <v>200 General and Administrative</v>
      </c>
      <c r="G248" s="105" t="s">
        <v>657</v>
      </c>
      <c r="H248" s="107" t="s">
        <v>658</v>
      </c>
      <c r="I248" s="112">
        <v>2500</v>
      </c>
      <c r="J248" s="113">
        <f>SUMIFS('Budget Worksheet'!$J$5:$J$234,'Budget Worksheet'!$B$5:$B$234,'Master Budget'!G248)</f>
        <v>2500</v>
      </c>
      <c r="K248" s="113">
        <f>_xlfn.XLOOKUP(G248,'Budget Worksheet'!$B$5:$B$234,'Budget Worksheet'!$G$5:$G$234,0)</f>
        <v>9454.2857142857138</v>
      </c>
      <c r="L248" s="113">
        <f>SUMIFS('Budget Worksheet'!$L$5:$L$234,'Budget Worksheet'!$B$5:$B$234,'Master Budget'!G248)</f>
        <v>2500</v>
      </c>
      <c r="M248" s="113">
        <f>_xlfn.XLOOKUP(G248,'Budget Worksheet'!$B$5:$B$234,'Budget Worksheet'!$N$5:$N$234,0)</f>
        <v>6500</v>
      </c>
      <c r="N248" s="113">
        <f>_xlfn.XLOOKUP(G248,'Budget Worksheet'!$B$5:$B$234,'Budget Worksheet'!$P$5:$P$234,0)</f>
        <v>6500</v>
      </c>
      <c r="O248" s="113">
        <f>_xlfn.XLOOKUP(G248,'Budget Worksheet'!$B$4:$B$234,'Budget Worksheet'!$S$4:$S$234,0)</f>
        <v>6500</v>
      </c>
      <c r="P248" s="113">
        <f>_xlfn.XLOOKUP(G248,'Budget Worksheet'!$B$4:$B$234,'Budget Worksheet'!$U$4:$U$234,0)</f>
        <v>6500</v>
      </c>
      <c r="Q248" s="107">
        <f>MATCH(G248,'Budget Worksheet'!$B$5:$B$234,0)</f>
        <v>145</v>
      </c>
      <c r="R248" s="112">
        <f t="shared" si="16"/>
        <v>29954.285714285714</v>
      </c>
      <c r="S248" s="108"/>
    </row>
    <row r="249" spans="1:19" x14ac:dyDescent="0.25">
      <c r="A249" s="107">
        <v>238</v>
      </c>
      <c r="B249" s="105" t="s">
        <v>102</v>
      </c>
      <c r="C249" s="105" t="str">
        <f t="shared" si="17"/>
        <v>51</v>
      </c>
      <c r="D249" s="105">
        <v>200</v>
      </c>
      <c r="E249" s="106" t="s">
        <v>10</v>
      </c>
      <c r="F249" s="107" t="str">
        <f t="shared" si="19"/>
        <v>200 General and Administrative</v>
      </c>
      <c r="G249" s="105" t="s">
        <v>659</v>
      </c>
      <c r="H249" s="107" t="s">
        <v>537</v>
      </c>
      <c r="I249" s="112">
        <v>2800</v>
      </c>
      <c r="J249" s="113">
        <f>SUMIFS('Budget Worksheet'!$J$5:$J$234,'Budget Worksheet'!$B$5:$B$234,'Master Budget'!G249)</f>
        <v>2800</v>
      </c>
      <c r="K249" s="113">
        <f>_xlfn.XLOOKUP(G249,'Budget Worksheet'!$B$5:$B$234,'Budget Worksheet'!$G$5:$G$234,0)</f>
        <v>29732.297142857147</v>
      </c>
      <c r="L249" s="113">
        <f>SUMIFS('Budget Worksheet'!$L$5:$L$234,'Budget Worksheet'!$B$5:$B$234,'Master Budget'!G249)</f>
        <v>2800</v>
      </c>
      <c r="M249" s="113">
        <f>_xlfn.XLOOKUP(G249,'Budget Worksheet'!$B$5:$B$234,'Budget Worksheet'!$N$5:$N$234,0)</f>
        <v>2800</v>
      </c>
      <c r="N249" s="113">
        <f>_xlfn.XLOOKUP(G249,'Budget Worksheet'!$B$5:$B$234,'Budget Worksheet'!$P$5:$P$234,0)</f>
        <v>60000</v>
      </c>
      <c r="O249" s="113">
        <f>_xlfn.XLOOKUP(G249,'Budget Worksheet'!$B$4:$B$234,'Budget Worksheet'!$S$4:$S$234,0)</f>
        <v>60000</v>
      </c>
      <c r="P249" s="113">
        <f>_xlfn.XLOOKUP(G249,'Budget Worksheet'!$B$4:$B$234,'Budget Worksheet'!$U$4:$U$234,0)</f>
        <v>60000</v>
      </c>
      <c r="Q249" s="107">
        <f>MATCH(G249,'Budget Worksheet'!$B$5:$B$234,0)</f>
        <v>146</v>
      </c>
      <c r="R249" s="112">
        <f t="shared" si="16"/>
        <v>100932.29714285715</v>
      </c>
      <c r="S249" s="108"/>
    </row>
    <row r="250" spans="1:19" x14ac:dyDescent="0.25">
      <c r="A250" s="107">
        <v>239</v>
      </c>
      <c r="B250" s="105" t="s">
        <v>102</v>
      </c>
      <c r="C250" s="105" t="str">
        <f t="shared" si="17"/>
        <v>51</v>
      </c>
      <c r="D250" s="105">
        <v>200</v>
      </c>
      <c r="E250" s="106" t="s">
        <v>10</v>
      </c>
      <c r="F250" s="107" t="str">
        <f t="shared" ref="F250:F281" si="20">D250&amp;" "&amp;E250</f>
        <v>200 General and Administrative</v>
      </c>
      <c r="G250" s="105" t="s">
        <v>640</v>
      </c>
      <c r="H250" s="107" t="s">
        <v>132</v>
      </c>
      <c r="I250" s="112">
        <v>0</v>
      </c>
      <c r="J250" s="113">
        <f>SUMIFS('Budget Worksheet'!$J$5:$J$234,'Budget Worksheet'!$B$5:$B$234,'Master Budget'!G250)</f>
        <v>0</v>
      </c>
      <c r="K250" s="113"/>
      <c r="L250" s="113">
        <f>SUMIFS('Budget Worksheet'!$L$5:$L$234,'Budget Worksheet'!$B$5:$B$234,'Master Budget'!G250)</f>
        <v>0</v>
      </c>
      <c r="M250" s="113">
        <f>_xlfn.XLOOKUP(G250,'Budget Worksheet'!$B$5:$B$234,'Budget Worksheet'!$N$5:$N$234,0)</f>
        <v>0</v>
      </c>
      <c r="N250" s="113">
        <f>_xlfn.XLOOKUP(G250,'Budget Worksheet'!$B$5:$B$234,'Budget Worksheet'!$P$5:$P$234,0)</f>
        <v>0</v>
      </c>
      <c r="O250" s="113">
        <f>_xlfn.XLOOKUP(G250,'Budget Worksheet'!$B$4:$B$234,'Budget Worksheet'!$S$4:$S$234,0)</f>
        <v>0</v>
      </c>
      <c r="P250" s="113">
        <f>_xlfn.XLOOKUP(G250,'Budget Worksheet'!$B$4:$B$234,'Budget Worksheet'!$U$4:$U$234,0)</f>
        <v>0</v>
      </c>
      <c r="Q250" s="107">
        <f>MATCH(G250,'Budget Worksheet'!$B$5:$B$234,0)</f>
        <v>135</v>
      </c>
      <c r="R250" s="112">
        <f t="shared" si="16"/>
        <v>0</v>
      </c>
      <c r="S250" s="108"/>
    </row>
    <row r="251" spans="1:19" x14ac:dyDescent="0.25">
      <c r="A251" s="107">
        <v>240</v>
      </c>
      <c r="B251" s="105" t="s">
        <v>102</v>
      </c>
      <c r="C251" s="105" t="str">
        <f t="shared" si="17"/>
        <v>51</v>
      </c>
      <c r="D251" s="105">
        <v>600</v>
      </c>
      <c r="E251" s="106" t="s">
        <v>13</v>
      </c>
      <c r="F251" s="107" t="str">
        <f t="shared" si="20"/>
        <v>600 Bad Debt</v>
      </c>
      <c r="G251" s="105" t="s">
        <v>662</v>
      </c>
      <c r="H251" s="107" t="s">
        <v>663</v>
      </c>
      <c r="I251" s="112">
        <v>0</v>
      </c>
      <c r="J251" s="113">
        <f>SUMIFS('Budget Worksheet'!$J$5:$J$234,'Budget Worksheet'!$B$5:$B$234,'Master Budget'!G251)</f>
        <v>0</v>
      </c>
      <c r="K251" s="113"/>
      <c r="L251" s="113">
        <f>SUMIFS('Budget Worksheet'!$L$5:$L$234,'Budget Worksheet'!$B$5:$B$234,'Master Budget'!G251)</f>
        <v>0</v>
      </c>
      <c r="M251" s="113">
        <f>_xlfn.XLOOKUP(G251,'Budget Worksheet'!$B$5:$B$234,'Budget Worksheet'!$N$5:$N$234,0)</f>
        <v>0</v>
      </c>
      <c r="N251" s="113">
        <f>_xlfn.XLOOKUP(G251,'Budget Worksheet'!$B$5:$B$234,'Budget Worksheet'!$P$5:$P$234,0)</f>
        <v>0</v>
      </c>
      <c r="O251" s="113">
        <f>_xlfn.XLOOKUP(G251,'Budget Worksheet'!$B$4:$B$234,'Budget Worksheet'!$S$4:$S$234,0)</f>
        <v>0</v>
      </c>
      <c r="P251" s="113">
        <f>_xlfn.XLOOKUP(G251,'Budget Worksheet'!$B$4:$B$234,'Budget Worksheet'!$U$4:$U$234,0)</f>
        <v>0</v>
      </c>
      <c r="Q251" s="107">
        <f>MATCH(G251,'Budget Worksheet'!$B$5:$B$234,0)</f>
        <v>148</v>
      </c>
      <c r="R251" s="112">
        <f t="shared" si="16"/>
        <v>0</v>
      </c>
      <c r="S251" s="108"/>
    </row>
    <row r="252" spans="1:19" x14ac:dyDescent="0.25">
      <c r="A252" s="107">
        <v>241</v>
      </c>
      <c r="B252" s="105" t="s">
        <v>102</v>
      </c>
      <c r="C252" s="105" t="str">
        <f t="shared" si="17"/>
        <v>51</v>
      </c>
      <c r="D252" s="105">
        <v>970</v>
      </c>
      <c r="E252" s="106" t="s">
        <v>884</v>
      </c>
      <c r="F252" s="107" t="str">
        <f t="shared" si="20"/>
        <v>970 Debt Principle Payments</v>
      </c>
      <c r="G252" s="105" t="s">
        <v>664</v>
      </c>
      <c r="H252" s="107" t="s">
        <v>665</v>
      </c>
      <c r="I252" s="112">
        <v>256000</v>
      </c>
      <c r="J252" s="113">
        <f>SUMIFS('Budget Worksheet'!$J$5:$J$234,'Budget Worksheet'!$B$5:$B$234,'Master Budget'!G252)</f>
        <v>256000</v>
      </c>
      <c r="K252" s="113">
        <f>_xlfn.XLOOKUP(G252,'Budget Worksheet'!$B$5:$B$234,'Budget Worksheet'!$G$5:$G$234,0)</f>
        <v>0</v>
      </c>
      <c r="L252" s="113">
        <f>SUMIFS('Budget Worksheet'!$L$5:$L$234,'Budget Worksheet'!$B$5:$B$234,'Master Budget'!G252)</f>
        <v>256000</v>
      </c>
      <c r="M252" s="113">
        <f>_xlfn.XLOOKUP(G252,'Budget Worksheet'!$B$5:$B$234,'Budget Worksheet'!$N$5:$N$234,0)</f>
        <v>134000</v>
      </c>
      <c r="N252" s="113">
        <f>_xlfn.XLOOKUP(G252,'Budget Worksheet'!$B$5:$B$234,'Budget Worksheet'!$P$5:$P$234,0)</f>
        <v>138000</v>
      </c>
      <c r="O252" s="113">
        <f>_xlfn.XLOOKUP(G252,'Budget Worksheet'!$B$4:$B$234,'Budget Worksheet'!$S$4:$S$234,0)</f>
        <v>138000</v>
      </c>
      <c r="P252" s="113">
        <f>_xlfn.XLOOKUP(G252,'Budget Worksheet'!$B$4:$B$234,'Budget Worksheet'!$U$4:$U$234,0)</f>
        <v>141000</v>
      </c>
      <c r="Q252" s="107">
        <f>MATCH(G252,'Budget Worksheet'!$B$5:$B$234,0)</f>
        <v>149</v>
      </c>
      <c r="R252" s="112">
        <f t="shared" si="16"/>
        <v>1040000</v>
      </c>
      <c r="S252" s="108"/>
    </row>
    <row r="253" spans="1:19" x14ac:dyDescent="0.25">
      <c r="A253" s="107">
        <v>242</v>
      </c>
      <c r="B253" s="105" t="s">
        <v>102</v>
      </c>
      <c r="C253" s="105" t="str">
        <f t="shared" si="17"/>
        <v>51</v>
      </c>
      <c r="D253" s="105">
        <v>620</v>
      </c>
      <c r="E253" s="106" t="s">
        <v>23</v>
      </c>
      <c r="F253" s="107" t="str">
        <f t="shared" si="20"/>
        <v>620 Interest Expense</v>
      </c>
      <c r="G253" s="105" t="s">
        <v>666</v>
      </c>
      <c r="H253" s="107" t="s">
        <v>23</v>
      </c>
      <c r="I253" s="112">
        <v>91558</v>
      </c>
      <c r="J253" s="113">
        <f>SUMIFS('Budget Worksheet'!$J$5:$J$234,'Budget Worksheet'!$B$5:$B$234,'Master Budget'!G253)</f>
        <v>91558</v>
      </c>
      <c r="K253" s="113">
        <f>_xlfn.XLOOKUP(G253,'Budget Worksheet'!$B$5:$B$234,'Budget Worksheet'!$G$5:$G$234,0)</f>
        <v>0</v>
      </c>
      <c r="L253" s="113">
        <f>SUMIFS('Budget Worksheet'!$L$5:$L$234,'Budget Worksheet'!$B$5:$B$234,'Master Budget'!G253)</f>
        <v>91558</v>
      </c>
      <c r="M253" s="113">
        <f>_xlfn.XLOOKUP(G253,'Budget Worksheet'!$B$5:$B$234,'Budget Worksheet'!$N$5:$N$234,0)</f>
        <v>91558</v>
      </c>
      <c r="N253" s="113">
        <f>_xlfn.XLOOKUP(G253,'Budget Worksheet'!$B$5:$B$234,'Budget Worksheet'!$P$5:$P$234,0)</f>
        <v>91558</v>
      </c>
      <c r="O253" s="113">
        <f>_xlfn.XLOOKUP(G253,'Budget Worksheet'!$B$4:$B$234,'Budget Worksheet'!$S$4:$S$234,0)</f>
        <v>22158.400000000001</v>
      </c>
      <c r="P253" s="113">
        <f>_xlfn.XLOOKUP(G253,'Budget Worksheet'!$B$4:$B$234,'Budget Worksheet'!$U$4:$U$234,0)</f>
        <v>19337.5</v>
      </c>
      <c r="Q253" s="107">
        <f>MATCH(G253,'Budget Worksheet'!$B$5:$B$234,0)</f>
        <v>150</v>
      </c>
      <c r="R253" s="112">
        <f t="shared" si="16"/>
        <v>457790</v>
      </c>
      <c r="S253" s="108"/>
    </row>
    <row r="254" spans="1:19" x14ac:dyDescent="0.25">
      <c r="A254" s="107">
        <v>243</v>
      </c>
      <c r="B254" s="105" t="s">
        <v>102</v>
      </c>
      <c r="C254" s="105" t="str">
        <f t="shared" si="17"/>
        <v>51</v>
      </c>
      <c r="D254" s="105">
        <v>200</v>
      </c>
      <c r="E254" s="106" t="s">
        <v>10</v>
      </c>
      <c r="F254" s="107" t="str">
        <f t="shared" si="20"/>
        <v>200 General and Administrative</v>
      </c>
      <c r="G254" s="105" t="s">
        <v>668</v>
      </c>
      <c r="H254" s="107" t="s">
        <v>1085</v>
      </c>
      <c r="I254" s="112">
        <v>-1590.1240000000003</v>
      </c>
      <c r="J254" s="113">
        <f>SUMIFS('Budget Worksheet'!$J$5:$J$234,'Budget Worksheet'!$B$5:$B$234,'Master Budget'!G254)</f>
        <v>0</v>
      </c>
      <c r="K254" s="113">
        <f>_xlfn.XLOOKUP(G254,'Budget Worksheet'!$B$5:$B$234,'Budget Worksheet'!$G$5:$G$234,0)</f>
        <v>0</v>
      </c>
      <c r="L254" s="113">
        <f>SUMIFS('Budget Worksheet'!$L$5:$L$234,'Budget Worksheet'!$B$5:$B$234,'Master Budget'!G254)</f>
        <v>0</v>
      </c>
      <c r="M254" s="113">
        <f>_xlfn.XLOOKUP(G254,'Budget Worksheet'!$B$5:$B$234,'Budget Worksheet'!$N$5:$N$234,0)</f>
        <v>0</v>
      </c>
      <c r="N254" s="113">
        <f>_xlfn.XLOOKUP(G254,'Budget Worksheet'!$B$5:$B$234,'Budget Worksheet'!$P$5:$P$234,0)</f>
        <v>0</v>
      </c>
      <c r="O254" s="113">
        <f>_xlfn.XLOOKUP(G254,'Budget Worksheet'!$B$4:$B$234,'Budget Worksheet'!$S$4:$S$234,0)</f>
        <v>0</v>
      </c>
      <c r="P254" s="113">
        <f>_xlfn.XLOOKUP(G254,'Budget Worksheet'!$B$4:$B$234,'Budget Worksheet'!$U$4:$U$234,0)</f>
        <v>0</v>
      </c>
      <c r="Q254" s="107">
        <f>MATCH(G254,'Budget Worksheet'!$B$5:$B$234,0)</f>
        <v>151</v>
      </c>
      <c r="R254" s="112">
        <f t="shared" si="16"/>
        <v>-1590.1240000000003</v>
      </c>
      <c r="S254" s="108"/>
    </row>
    <row r="255" spans="1:19" x14ac:dyDescent="0.25">
      <c r="A255" s="107">
        <v>244</v>
      </c>
      <c r="B255" s="105" t="s">
        <v>102</v>
      </c>
      <c r="C255" s="105" t="str">
        <f t="shared" si="17"/>
        <v>51</v>
      </c>
      <c r="D255" s="105">
        <v>700</v>
      </c>
      <c r="E255" s="106" t="s">
        <v>12</v>
      </c>
      <c r="F255" s="107" t="str">
        <f t="shared" si="20"/>
        <v>700 Depreciation and Amortization</v>
      </c>
      <c r="G255" s="105" t="s">
        <v>669</v>
      </c>
      <c r="H255" s="107" t="s">
        <v>43</v>
      </c>
      <c r="I255" s="112">
        <v>87202.200000000012</v>
      </c>
      <c r="J255" s="113">
        <f>SUMIFS('Budget Worksheet'!$J$5:$J$234,'Budget Worksheet'!$B$5:$B$234,'Master Budget'!G255)</f>
        <v>87202</v>
      </c>
      <c r="K255" s="113">
        <f>_xlfn.XLOOKUP(G255,'Budget Worksheet'!$B$5:$B$234,'Budget Worksheet'!$G$5:$G$234,0)</f>
        <v>96270.342857142852</v>
      </c>
      <c r="L255" s="113">
        <f>SUMIFS('Budget Worksheet'!$L$5:$L$234,'Budget Worksheet'!$B$5:$B$234,'Master Budget'!G255)</f>
        <v>87202</v>
      </c>
      <c r="M255" s="113">
        <f>_xlfn.XLOOKUP(G255,'Budget Worksheet'!$B$5:$B$234,'Budget Worksheet'!$N$5:$N$234,0)</f>
        <v>87202</v>
      </c>
      <c r="N255" s="113">
        <f>_xlfn.XLOOKUP(G255,'Budget Worksheet'!$B$5:$B$234,'Budget Worksheet'!$P$5:$P$234,0)</f>
        <v>87202</v>
      </c>
      <c r="O255" s="113">
        <f>_xlfn.XLOOKUP(G255,'Budget Worksheet'!$B$4:$B$234,'Budget Worksheet'!$S$4:$S$234,0)</f>
        <v>87202</v>
      </c>
      <c r="P255" s="113">
        <f>_xlfn.XLOOKUP(G255,'Budget Worksheet'!$B$4:$B$234,'Budget Worksheet'!$U$4:$U$234,0)</f>
        <v>87202</v>
      </c>
      <c r="Q255" s="107">
        <f>MATCH(G255,'Budget Worksheet'!$B$5:$B$234,0)</f>
        <v>152</v>
      </c>
      <c r="R255" s="112">
        <f t="shared" si="16"/>
        <v>532280.54285714286</v>
      </c>
      <c r="S255" s="108"/>
    </row>
    <row r="256" spans="1:19" x14ac:dyDescent="0.25">
      <c r="A256" s="107">
        <v>245</v>
      </c>
      <c r="B256" s="105" t="s">
        <v>102</v>
      </c>
      <c r="C256" s="105" t="str">
        <f t="shared" si="17"/>
        <v>51</v>
      </c>
      <c r="D256" s="105">
        <v>710</v>
      </c>
      <c r="E256" s="106" t="s">
        <v>882</v>
      </c>
      <c r="F256" s="107" t="str">
        <f t="shared" si="20"/>
        <v>710 Capital Outlay</v>
      </c>
      <c r="G256" s="105" t="s">
        <v>670</v>
      </c>
      <c r="H256" s="107" t="s">
        <v>1086</v>
      </c>
      <c r="I256" s="112">
        <v>3700000</v>
      </c>
      <c r="J256" s="113">
        <f>SUMIFS('Budget Worksheet'!$J$5:$J$234,'Budget Worksheet'!$B$5:$B$234,'Master Budget'!G256)</f>
        <v>0</v>
      </c>
      <c r="K256" s="113">
        <f>_xlfn.XLOOKUP(G256,'Budget Worksheet'!$B$5:$B$234,'Budget Worksheet'!$G$5:$G$234,0)</f>
        <v>0</v>
      </c>
      <c r="L256" s="113">
        <f>SUMIFS('Budget Worksheet'!$L$5:$L$234,'Budget Worksheet'!$B$5:$B$234,'Master Budget'!G256)</f>
        <v>0</v>
      </c>
      <c r="M256" s="113">
        <f>_xlfn.XLOOKUP(G256,'Budget Worksheet'!$B$5:$B$234,'Budget Worksheet'!$N$5:$N$234,0)</f>
        <v>0</v>
      </c>
      <c r="N256" s="113">
        <f>_xlfn.XLOOKUP(G256,'Budget Worksheet'!$B$5:$B$234,'Budget Worksheet'!$P$5:$P$234,0)</f>
        <v>0</v>
      </c>
      <c r="O256" s="113">
        <f>_xlfn.XLOOKUP(G256,'Budget Worksheet'!$B$4:$B$234,'Budget Worksheet'!$S$4:$S$234,0)</f>
        <v>0</v>
      </c>
      <c r="P256" s="113">
        <f>_xlfn.XLOOKUP(G256,'Budget Worksheet'!$B$4:$B$234,'Budget Worksheet'!$U$4:$U$234,0)</f>
        <v>0</v>
      </c>
      <c r="Q256" s="107">
        <f>MATCH(G256,'Budget Worksheet'!$B$5:$B$234,0)</f>
        <v>153</v>
      </c>
      <c r="R256" s="112">
        <f t="shared" si="16"/>
        <v>3700000</v>
      </c>
      <c r="S256" s="108"/>
    </row>
    <row r="257" spans="1:19" x14ac:dyDescent="0.25">
      <c r="A257" s="107">
        <v>246</v>
      </c>
      <c r="B257" s="105" t="s">
        <v>102</v>
      </c>
      <c r="C257" s="105" t="str">
        <f t="shared" si="17"/>
        <v>51</v>
      </c>
      <c r="D257" s="105">
        <v>710</v>
      </c>
      <c r="E257" s="106" t="s">
        <v>882</v>
      </c>
      <c r="F257" s="107" t="str">
        <f t="shared" si="20"/>
        <v>710 Capital Outlay</v>
      </c>
      <c r="G257" s="105" t="s">
        <v>672</v>
      </c>
      <c r="H257" s="107" t="s">
        <v>344</v>
      </c>
      <c r="I257" s="112">
        <v>100000</v>
      </c>
      <c r="J257" s="113">
        <f>SUMIFS('Budget Worksheet'!$J$5:$J$234,'Budget Worksheet'!$B$5:$B$234,'Master Budget'!G257)</f>
        <v>3800000</v>
      </c>
      <c r="K257" s="113">
        <f>_xlfn.XLOOKUP(G257,'Budget Worksheet'!$B$5:$B$234,'Budget Worksheet'!$G$5:$G$234,0)</f>
        <v>41268</v>
      </c>
      <c r="L257" s="113">
        <f>SUMIFS('Budget Worksheet'!$L$5:$L$234,'Budget Worksheet'!$B$5:$B$234,'Master Budget'!G257)</f>
        <v>3905500</v>
      </c>
      <c r="M257" s="113">
        <f>_xlfn.XLOOKUP(G257,'Budget Worksheet'!$B$5:$B$234,'Budget Worksheet'!$N$5:$N$234,0)</f>
        <v>2540500</v>
      </c>
      <c r="N257" s="113">
        <f>_xlfn.XLOOKUP(G257,'Budget Worksheet'!$B$5:$B$234,'Budget Worksheet'!$P$5:$P$234,0)</f>
        <v>970000</v>
      </c>
      <c r="O257" s="113">
        <f>_xlfn.XLOOKUP(G257,'Budget Worksheet'!$B$4:$B$234,'Budget Worksheet'!$S$4:$S$234,0)</f>
        <v>930000</v>
      </c>
      <c r="P257" s="113">
        <f>_xlfn.XLOOKUP(G257,'Budget Worksheet'!$B$4:$B$234,'Budget Worksheet'!$U$4:$U$234,0)</f>
        <v>1590000</v>
      </c>
      <c r="Q257" s="107">
        <f>MATCH(G257,'Budget Worksheet'!$B$5:$B$234,0)</f>
        <v>154</v>
      </c>
      <c r="R257" s="112">
        <f t="shared" si="16"/>
        <v>11357268</v>
      </c>
      <c r="S257" s="108"/>
    </row>
    <row r="258" spans="1:19" ht="14.25" thickBot="1" x14ac:dyDescent="0.3">
      <c r="A258" s="121">
        <v>246</v>
      </c>
      <c r="B258" s="122" t="s">
        <v>102</v>
      </c>
      <c r="C258" s="122" t="str">
        <f t="shared" si="17"/>
        <v>51</v>
      </c>
      <c r="D258" s="122">
        <v>710</v>
      </c>
      <c r="E258" s="123" t="s">
        <v>882</v>
      </c>
      <c r="F258" s="121" t="str">
        <f t="shared" si="20"/>
        <v>710 Capital Outlay</v>
      </c>
      <c r="G258" s="105" t="s">
        <v>673</v>
      </c>
      <c r="H258" s="107" t="s">
        <v>674</v>
      </c>
      <c r="I258" s="174"/>
      <c r="J258" s="175">
        <f>SUMIFS('Budget Worksheet'!$J$5:$J$234,'Budget Worksheet'!$B$5:$B$234,'Master Budget'!G258)</f>
        <v>0</v>
      </c>
      <c r="K258" s="175"/>
      <c r="L258" s="175">
        <f>SUMIFS('Budget Worksheet'!$L$5:$L$234,'Budget Worksheet'!$B$5:$B$234,'Master Budget'!G258)</f>
        <v>0</v>
      </c>
      <c r="M258" s="175">
        <f>_xlfn.XLOOKUP(G258,'Budget Worksheet'!$B$5:$B$234,'Budget Worksheet'!$N$5:$N$234,0)</f>
        <v>0</v>
      </c>
      <c r="N258" s="175">
        <f>_xlfn.XLOOKUP(G258,'Budget Worksheet'!$B$5:$B$234,'Budget Worksheet'!$P$5:$P$234,0)</f>
        <v>0</v>
      </c>
      <c r="O258" s="113">
        <f>_xlfn.XLOOKUP(G258,'Budget Worksheet'!$B$4:$B$234,'Budget Worksheet'!$S$4:$S$234,0)</f>
        <v>0</v>
      </c>
      <c r="P258" s="113">
        <f>_xlfn.XLOOKUP(G258,'Budget Worksheet'!$B$4:$B$234,'Budget Worksheet'!$U$4:$U$234,0)</f>
        <v>0</v>
      </c>
      <c r="Q258" s="107">
        <f>MATCH(G258,'Budget Worksheet'!$B$5:$B$234,0)</f>
        <v>155</v>
      </c>
      <c r="R258" s="174">
        <f t="shared" si="16"/>
        <v>0</v>
      </c>
      <c r="S258" s="108"/>
    </row>
    <row r="259" spans="1:19" ht="14.25" thickBot="1" x14ac:dyDescent="0.3">
      <c r="A259" s="107">
        <v>248</v>
      </c>
      <c r="B259" s="105" t="s">
        <v>102</v>
      </c>
      <c r="C259" s="105" t="str">
        <f t="shared" si="17"/>
        <v>51</v>
      </c>
      <c r="D259" s="105">
        <v>720</v>
      </c>
      <c r="E259" s="106" t="s">
        <v>883</v>
      </c>
      <c r="F259" s="107" t="str">
        <f t="shared" si="20"/>
        <v>720 Gain/Loss on disposal</v>
      </c>
      <c r="G259" s="122" t="s">
        <v>676</v>
      </c>
      <c r="H259" s="121" t="s">
        <v>164</v>
      </c>
      <c r="I259" s="124">
        <v>0</v>
      </c>
      <c r="J259" s="125">
        <f>SUMIFS('Budget Worksheet'!$J$5:$J$234,'Budget Worksheet'!$B$5:$B$234,'Master Budget'!G259)</f>
        <v>0</v>
      </c>
      <c r="K259" s="125"/>
      <c r="L259" s="125">
        <f>SUMIFS('Budget Worksheet'!$L$5:$L$234,'Budget Worksheet'!$B$5:$B$234,'Master Budget'!G259)</f>
        <v>0</v>
      </c>
      <c r="M259" s="125">
        <f>_xlfn.XLOOKUP(G259,'Budget Worksheet'!$B$5:$B$234,'Budget Worksheet'!$N$5:$N$234,0)</f>
        <v>0</v>
      </c>
      <c r="N259" s="125">
        <f>_xlfn.XLOOKUP(G259,'Budget Worksheet'!$B$5:$B$234,'Budget Worksheet'!$P$5:$P$234,0)</f>
        <v>0</v>
      </c>
      <c r="O259" s="125">
        <f>_xlfn.XLOOKUP(G259,'Budget Worksheet'!$B$4:$B$234,'Budget Worksheet'!$S$4:$S$234,0)</f>
        <v>0</v>
      </c>
      <c r="P259" s="125">
        <f>_xlfn.XLOOKUP(G259,'Budget Worksheet'!$B$4:$B$234,'Budget Worksheet'!$U$4:$U$234,0)</f>
        <v>0</v>
      </c>
      <c r="Q259" s="121">
        <f>MATCH(G259,'Budget Worksheet'!$B$5:$B$234,0)</f>
        <v>157</v>
      </c>
      <c r="R259" s="124">
        <f t="shared" si="16"/>
        <v>0</v>
      </c>
      <c r="S259" s="108"/>
    </row>
    <row r="260" spans="1:19" x14ac:dyDescent="0.25">
      <c r="A260" s="107">
        <v>249</v>
      </c>
      <c r="B260" s="105" t="s">
        <v>50</v>
      </c>
      <c r="C260" s="105" t="str">
        <f t="shared" si="17"/>
        <v>52</v>
      </c>
      <c r="D260" s="105">
        <v>10000</v>
      </c>
      <c r="E260" s="106" t="s">
        <v>1029</v>
      </c>
      <c r="F260" s="107" t="str">
        <f t="shared" si="20"/>
        <v>10000 Cash and Cash Equivalents</v>
      </c>
      <c r="G260" s="105" t="s">
        <v>677</v>
      </c>
      <c r="H260" s="107" t="s">
        <v>49</v>
      </c>
      <c r="I260" s="112">
        <v>0</v>
      </c>
      <c r="J260" s="113">
        <f>SUMIFS('Budget Worksheet'!$J$5:$J$234,'Budget Worksheet'!$B$5:$B$234,'Master Budget'!G260)</f>
        <v>0</v>
      </c>
      <c r="K260" s="113"/>
      <c r="L260" s="113">
        <f>SUMIFS('Budget Worksheet'!$L$5:$L$234,'Budget Worksheet'!$B$5:$B$234,'Master Budget'!G260)</f>
        <v>0</v>
      </c>
      <c r="M260" s="113">
        <f>_xlfn.XLOOKUP(G260,'Budget Worksheet'!$B$5:$B$234,'Budget Worksheet'!$N$5:$N$234,0)</f>
        <v>0</v>
      </c>
      <c r="N260" s="113">
        <f>_xlfn.XLOOKUP(G260,'Budget Worksheet'!$B$5:$B$234,'Budget Worksheet'!$P$5:$P$234,0)</f>
        <v>0</v>
      </c>
      <c r="O260" s="113">
        <f>_xlfn.XLOOKUP(G260,'Budget Worksheet'!$B$4:$B$234,'Budget Worksheet'!$S$4:$S$234,0)</f>
        <v>0</v>
      </c>
      <c r="P260" s="113">
        <f>_xlfn.XLOOKUP(G260,'Budget Worksheet'!$B$4:$B$234,'Budget Worksheet'!$U$4:$U$234,0)</f>
        <v>0</v>
      </c>
      <c r="Q260" s="107" t="e">
        <f>MATCH(G260,'Budget Worksheet'!$B$5:$B$234,0)</f>
        <v>#N/A</v>
      </c>
      <c r="R260" s="112">
        <f t="shared" si="16"/>
        <v>0</v>
      </c>
      <c r="S260" s="108"/>
    </row>
    <row r="261" spans="1:19" x14ac:dyDescent="0.25">
      <c r="A261" s="107">
        <v>250</v>
      </c>
      <c r="B261" s="105" t="s">
        <v>50</v>
      </c>
      <c r="C261" s="105" t="str">
        <f t="shared" si="17"/>
        <v>52</v>
      </c>
      <c r="D261" s="105">
        <v>10600</v>
      </c>
      <c r="E261" s="106" t="s">
        <v>1030</v>
      </c>
      <c r="F261" s="107" t="str">
        <f t="shared" si="20"/>
        <v>10600 Restricted cash and investments</v>
      </c>
      <c r="G261" s="105" t="s">
        <v>1087</v>
      </c>
      <c r="H261" s="107" t="s">
        <v>1031</v>
      </c>
      <c r="I261" s="112">
        <v>0</v>
      </c>
      <c r="J261" s="113">
        <f>SUMIFS('Budget Worksheet'!$J$5:$J$234,'Budget Worksheet'!$B$5:$B$234,'Master Budget'!G261)</f>
        <v>0</v>
      </c>
      <c r="K261" s="113"/>
      <c r="L261" s="113">
        <f>SUMIFS('Budget Worksheet'!$L$5:$L$234,'Budget Worksheet'!$B$5:$B$234,'Master Budget'!G261)</f>
        <v>0</v>
      </c>
      <c r="M261" s="113">
        <f>_xlfn.XLOOKUP(G261,'Budget Worksheet'!$B$5:$B$234,'Budget Worksheet'!$N$5:$N$234,0)</f>
        <v>0</v>
      </c>
      <c r="N261" s="113">
        <f>_xlfn.XLOOKUP(G261,'Budget Worksheet'!$B$5:$B$234,'Budget Worksheet'!$P$5:$P$234,0)</f>
        <v>0</v>
      </c>
      <c r="O261" s="113">
        <f>_xlfn.XLOOKUP(G261,'Budget Worksheet'!$B$4:$B$234,'Budget Worksheet'!$S$4:$S$234,0)</f>
        <v>0</v>
      </c>
      <c r="P261" s="113">
        <f>_xlfn.XLOOKUP(G261,'Budget Worksheet'!$B$4:$B$234,'Budget Worksheet'!$U$4:$U$234,0)</f>
        <v>0</v>
      </c>
      <c r="Q261" s="107" t="e">
        <f>MATCH(G261,'Budget Worksheet'!$B$5:$B$234,0)</f>
        <v>#N/A</v>
      </c>
      <c r="R261" s="112">
        <f t="shared" si="16"/>
        <v>0</v>
      </c>
      <c r="S261" s="108"/>
    </row>
    <row r="262" spans="1:19" x14ac:dyDescent="0.25">
      <c r="A262" s="107">
        <v>251</v>
      </c>
      <c r="B262" s="105" t="s">
        <v>50</v>
      </c>
      <c r="C262" s="105" t="str">
        <f t="shared" si="17"/>
        <v>52</v>
      </c>
      <c r="D262" s="105">
        <v>10000</v>
      </c>
      <c r="E262" s="106" t="s">
        <v>1029</v>
      </c>
      <c r="F262" s="107" t="str">
        <f t="shared" si="20"/>
        <v>10000 Cash and Cash Equivalents</v>
      </c>
      <c r="G262" s="105" t="s">
        <v>678</v>
      </c>
      <c r="H262" s="107" t="s">
        <v>679</v>
      </c>
      <c r="I262" s="112">
        <v>0</v>
      </c>
      <c r="J262" s="113">
        <f>SUMIFS('Budget Worksheet'!$J$5:$J$234,'Budget Worksheet'!$B$5:$B$234,'Master Budget'!G262)</f>
        <v>0</v>
      </c>
      <c r="K262" s="113"/>
      <c r="L262" s="113">
        <f>SUMIFS('Budget Worksheet'!$L$5:$L$234,'Budget Worksheet'!$B$5:$B$234,'Master Budget'!G262)</f>
        <v>0</v>
      </c>
      <c r="M262" s="113">
        <f>_xlfn.XLOOKUP(G262,'Budget Worksheet'!$B$5:$B$234,'Budget Worksheet'!$N$5:$N$234,0)</f>
        <v>0</v>
      </c>
      <c r="N262" s="113">
        <f>_xlfn.XLOOKUP(G262,'Budget Worksheet'!$B$5:$B$234,'Budget Worksheet'!$P$5:$P$234,0)</f>
        <v>0</v>
      </c>
      <c r="O262" s="113">
        <f>_xlfn.XLOOKUP(G262,'Budget Worksheet'!$B$4:$B$234,'Budget Worksheet'!$S$4:$S$234,0)</f>
        <v>0</v>
      </c>
      <c r="P262" s="113">
        <f>_xlfn.XLOOKUP(G262,'Budget Worksheet'!$B$4:$B$234,'Budget Worksheet'!$U$4:$U$234,0)</f>
        <v>0</v>
      </c>
      <c r="Q262" s="107" t="e">
        <f>MATCH(G262,'Budget Worksheet'!$B$5:$B$234,0)</f>
        <v>#N/A</v>
      </c>
      <c r="R262" s="112">
        <f t="shared" si="16"/>
        <v>0</v>
      </c>
      <c r="S262" s="108"/>
    </row>
    <row r="263" spans="1:19" x14ac:dyDescent="0.25">
      <c r="A263" s="107">
        <v>252</v>
      </c>
      <c r="B263" s="105" t="s">
        <v>50</v>
      </c>
      <c r="C263" s="105" t="str">
        <f t="shared" si="17"/>
        <v>52</v>
      </c>
      <c r="D263" s="105">
        <v>10600</v>
      </c>
      <c r="E263" s="106" t="s">
        <v>1030</v>
      </c>
      <c r="F263" s="107" t="str">
        <f t="shared" si="20"/>
        <v>10600 Restricted cash and investments</v>
      </c>
      <c r="G263" s="105" t="s">
        <v>680</v>
      </c>
      <c r="H263" s="107" t="s">
        <v>681</v>
      </c>
      <c r="I263" s="112">
        <v>0</v>
      </c>
      <c r="J263" s="113">
        <f>SUMIFS('Budget Worksheet'!$J$5:$J$234,'Budget Worksheet'!$B$5:$B$234,'Master Budget'!G263)</f>
        <v>0</v>
      </c>
      <c r="K263" s="113"/>
      <c r="L263" s="113">
        <f>SUMIFS('Budget Worksheet'!$L$5:$L$234,'Budget Worksheet'!$B$5:$B$234,'Master Budget'!G263)</f>
        <v>0</v>
      </c>
      <c r="M263" s="113">
        <f>_xlfn.XLOOKUP(G263,'Budget Worksheet'!$B$5:$B$234,'Budget Worksheet'!$N$5:$N$234,0)</f>
        <v>0</v>
      </c>
      <c r="N263" s="113">
        <f>_xlfn.XLOOKUP(G263,'Budget Worksheet'!$B$5:$B$234,'Budget Worksheet'!$P$5:$P$234,0)</f>
        <v>0</v>
      </c>
      <c r="O263" s="113">
        <f>_xlfn.XLOOKUP(G263,'Budget Worksheet'!$B$4:$B$234,'Budget Worksheet'!$S$4:$S$234,0)</f>
        <v>0</v>
      </c>
      <c r="P263" s="113">
        <f>_xlfn.XLOOKUP(G263,'Budget Worksheet'!$B$4:$B$234,'Budget Worksheet'!$U$4:$U$234,0)</f>
        <v>0</v>
      </c>
      <c r="Q263" s="107" t="e">
        <f>MATCH(G263,'Budget Worksheet'!$B$5:$B$234,0)</f>
        <v>#N/A</v>
      </c>
      <c r="R263" s="112">
        <f t="shared" ref="R263:R326" si="21">SUM(I263:N263)</f>
        <v>0</v>
      </c>
      <c r="S263" s="108"/>
    </row>
    <row r="264" spans="1:19" x14ac:dyDescent="0.25">
      <c r="A264" s="107">
        <v>253</v>
      </c>
      <c r="B264" s="105" t="s">
        <v>50</v>
      </c>
      <c r="C264" s="105" t="str">
        <f t="shared" ref="C264:C327" si="22">LEFT(G264,2)</f>
        <v>52</v>
      </c>
      <c r="D264" s="105">
        <v>11500</v>
      </c>
      <c r="E264" s="106" t="s">
        <v>54</v>
      </c>
      <c r="F264" s="107" t="str">
        <f t="shared" si="20"/>
        <v>11500 Accounts Receivable</v>
      </c>
      <c r="G264" s="105" t="s">
        <v>682</v>
      </c>
      <c r="H264" s="107" t="s">
        <v>54</v>
      </c>
      <c r="I264" s="112">
        <v>0</v>
      </c>
      <c r="J264" s="113">
        <f>SUMIFS('Budget Worksheet'!$J$5:$J$234,'Budget Worksheet'!$B$5:$B$234,'Master Budget'!G264)</f>
        <v>0</v>
      </c>
      <c r="K264" s="113"/>
      <c r="L264" s="113">
        <f>SUMIFS('Budget Worksheet'!$L$5:$L$234,'Budget Worksheet'!$B$5:$B$234,'Master Budget'!G264)</f>
        <v>0</v>
      </c>
      <c r="M264" s="113">
        <f>_xlfn.XLOOKUP(G264,'Budget Worksheet'!$B$5:$B$234,'Budget Worksheet'!$N$5:$N$234,0)</f>
        <v>0</v>
      </c>
      <c r="N264" s="113">
        <f>_xlfn.XLOOKUP(G264,'Budget Worksheet'!$B$5:$B$234,'Budget Worksheet'!$P$5:$P$234,0)</f>
        <v>0</v>
      </c>
      <c r="O264" s="113">
        <f>_xlfn.XLOOKUP(G264,'Budget Worksheet'!$B$4:$B$234,'Budget Worksheet'!$S$4:$S$234,0)</f>
        <v>0</v>
      </c>
      <c r="P264" s="113">
        <f>_xlfn.XLOOKUP(G264,'Budget Worksheet'!$B$4:$B$234,'Budget Worksheet'!$U$4:$U$234,0)</f>
        <v>0</v>
      </c>
      <c r="Q264" s="107" t="e">
        <f>MATCH(G264,'Budget Worksheet'!$B$5:$B$234,0)</f>
        <v>#N/A</v>
      </c>
      <c r="R264" s="112">
        <f t="shared" si="21"/>
        <v>0</v>
      </c>
      <c r="S264" s="108"/>
    </row>
    <row r="265" spans="1:19" x14ac:dyDescent="0.25">
      <c r="A265" s="107">
        <v>254</v>
      </c>
      <c r="B265" s="105" t="s">
        <v>50</v>
      </c>
      <c r="C265" s="105" t="str">
        <f t="shared" si="22"/>
        <v>52</v>
      </c>
      <c r="D265" s="105">
        <v>16400</v>
      </c>
      <c r="E265" s="106" t="s">
        <v>1088</v>
      </c>
      <c r="F265" s="107" t="str">
        <f t="shared" si="20"/>
        <v>16400 Wastewater system</v>
      </c>
      <c r="G265" s="105" t="s">
        <v>686</v>
      </c>
      <c r="H265" s="107" t="s">
        <v>687</v>
      </c>
      <c r="I265" s="112">
        <v>0</v>
      </c>
      <c r="J265" s="113">
        <f>SUMIFS('Budget Worksheet'!$J$5:$J$234,'Budget Worksheet'!$B$5:$B$234,'Master Budget'!G265)</f>
        <v>0</v>
      </c>
      <c r="K265" s="113"/>
      <c r="L265" s="113">
        <f>SUMIFS('Budget Worksheet'!$L$5:$L$234,'Budget Worksheet'!$B$5:$B$234,'Master Budget'!G265)</f>
        <v>0</v>
      </c>
      <c r="M265" s="113">
        <f>_xlfn.XLOOKUP(G265,'Budget Worksheet'!$B$5:$B$234,'Budget Worksheet'!$N$5:$N$234,0)</f>
        <v>0</v>
      </c>
      <c r="N265" s="113">
        <f>_xlfn.XLOOKUP(G265,'Budget Worksheet'!$B$5:$B$234,'Budget Worksheet'!$P$5:$P$234,0)</f>
        <v>0</v>
      </c>
      <c r="O265" s="113">
        <f>_xlfn.XLOOKUP(G265,'Budget Worksheet'!$B$4:$B$234,'Budget Worksheet'!$S$4:$S$234,0)</f>
        <v>0</v>
      </c>
      <c r="P265" s="113">
        <f>_xlfn.XLOOKUP(G265,'Budget Worksheet'!$B$4:$B$234,'Budget Worksheet'!$U$4:$U$234,0)</f>
        <v>0</v>
      </c>
      <c r="Q265" s="107" t="e">
        <f>MATCH(G265,'Budget Worksheet'!$B$5:$B$234,0)</f>
        <v>#N/A</v>
      </c>
      <c r="R265" s="112">
        <f t="shared" si="21"/>
        <v>0</v>
      </c>
      <c r="S265" s="108"/>
    </row>
    <row r="266" spans="1:19" x14ac:dyDescent="0.25">
      <c r="A266" s="107">
        <v>255</v>
      </c>
      <c r="B266" s="105" t="s">
        <v>50</v>
      </c>
      <c r="C266" s="105" t="str">
        <f t="shared" si="22"/>
        <v>52</v>
      </c>
      <c r="D266" s="105">
        <v>16500</v>
      </c>
      <c r="E266" s="106" t="s">
        <v>1033</v>
      </c>
      <c r="F266" s="107" t="str">
        <f t="shared" si="20"/>
        <v>16500 Right to use assets</v>
      </c>
      <c r="G266" s="105" t="s">
        <v>688</v>
      </c>
      <c r="H266" s="107" t="s">
        <v>1035</v>
      </c>
      <c r="I266" s="112">
        <v>0</v>
      </c>
      <c r="J266" s="113">
        <f>SUMIFS('Budget Worksheet'!$J$5:$J$234,'Budget Worksheet'!$B$5:$B$234,'Master Budget'!G266)</f>
        <v>0</v>
      </c>
      <c r="K266" s="113"/>
      <c r="L266" s="113">
        <f>SUMIFS('Budget Worksheet'!$L$5:$L$234,'Budget Worksheet'!$B$5:$B$234,'Master Budget'!G266)</f>
        <v>0</v>
      </c>
      <c r="M266" s="113">
        <f>_xlfn.XLOOKUP(G266,'Budget Worksheet'!$B$5:$B$234,'Budget Worksheet'!$N$5:$N$234,0)</f>
        <v>0</v>
      </c>
      <c r="N266" s="113">
        <f>_xlfn.XLOOKUP(G266,'Budget Worksheet'!$B$5:$B$234,'Budget Worksheet'!$P$5:$P$234,0)</f>
        <v>0</v>
      </c>
      <c r="O266" s="113">
        <f>_xlfn.XLOOKUP(G266,'Budget Worksheet'!$B$4:$B$234,'Budget Worksheet'!$S$4:$S$234,0)</f>
        <v>0</v>
      </c>
      <c r="P266" s="113">
        <f>_xlfn.XLOOKUP(G266,'Budget Worksheet'!$B$4:$B$234,'Budget Worksheet'!$U$4:$U$234,0)</f>
        <v>0</v>
      </c>
      <c r="Q266" s="107" t="e">
        <f>MATCH(G266,'Budget Worksheet'!$B$5:$B$234,0)</f>
        <v>#N/A</v>
      </c>
      <c r="R266" s="112">
        <f t="shared" si="21"/>
        <v>0</v>
      </c>
      <c r="S266" s="108"/>
    </row>
    <row r="267" spans="1:19" x14ac:dyDescent="0.25">
      <c r="A267" s="107">
        <v>256</v>
      </c>
      <c r="B267" s="105" t="s">
        <v>50</v>
      </c>
      <c r="C267" s="105" t="str">
        <f t="shared" si="22"/>
        <v>52</v>
      </c>
      <c r="D267" s="105">
        <v>16600</v>
      </c>
      <c r="E267" s="106" t="s">
        <v>547</v>
      </c>
      <c r="F267" s="107" t="str">
        <f t="shared" si="20"/>
        <v>16600 Construction In Progress</v>
      </c>
      <c r="G267" s="105" t="s">
        <v>690</v>
      </c>
      <c r="H267" s="107" t="s">
        <v>547</v>
      </c>
      <c r="I267" s="112">
        <v>0</v>
      </c>
      <c r="J267" s="113">
        <f>SUMIFS('Budget Worksheet'!$J$5:$J$234,'Budget Worksheet'!$B$5:$B$234,'Master Budget'!G267)</f>
        <v>0</v>
      </c>
      <c r="K267" s="113"/>
      <c r="L267" s="113">
        <f>SUMIFS('Budget Worksheet'!$L$5:$L$234,'Budget Worksheet'!$B$5:$B$234,'Master Budget'!G267)</f>
        <v>0</v>
      </c>
      <c r="M267" s="113">
        <f>_xlfn.XLOOKUP(G267,'Budget Worksheet'!$B$5:$B$234,'Budget Worksheet'!$N$5:$N$234,0)</f>
        <v>0</v>
      </c>
      <c r="N267" s="113">
        <f>_xlfn.XLOOKUP(G267,'Budget Worksheet'!$B$5:$B$234,'Budget Worksheet'!$P$5:$P$234,0)</f>
        <v>0</v>
      </c>
      <c r="O267" s="113">
        <f>_xlfn.XLOOKUP(G267,'Budget Worksheet'!$B$4:$B$234,'Budget Worksheet'!$S$4:$S$234,0)</f>
        <v>0</v>
      </c>
      <c r="P267" s="113">
        <f>_xlfn.XLOOKUP(G267,'Budget Worksheet'!$B$4:$B$234,'Budget Worksheet'!$U$4:$U$234,0)</f>
        <v>0</v>
      </c>
      <c r="Q267" s="107" t="e">
        <f>MATCH(G267,'Budget Worksheet'!$B$5:$B$234,0)</f>
        <v>#N/A</v>
      </c>
      <c r="R267" s="112">
        <f t="shared" si="21"/>
        <v>0</v>
      </c>
      <c r="S267" s="108"/>
    </row>
    <row r="268" spans="1:19" x14ac:dyDescent="0.25">
      <c r="A268" s="107">
        <v>257</v>
      </c>
      <c r="B268" s="105" t="s">
        <v>50</v>
      </c>
      <c r="C268" s="105" t="str">
        <f t="shared" si="22"/>
        <v>52</v>
      </c>
      <c r="D268" s="105">
        <v>16900</v>
      </c>
      <c r="E268" s="106" t="s">
        <v>198</v>
      </c>
      <c r="F268" s="107" t="str">
        <f t="shared" si="20"/>
        <v>16900 Accumulated Depreciation</v>
      </c>
      <c r="G268" s="105" t="s">
        <v>691</v>
      </c>
      <c r="H268" s="107" t="s">
        <v>198</v>
      </c>
      <c r="I268" s="112">
        <v>0</v>
      </c>
      <c r="J268" s="113">
        <f>SUMIFS('Budget Worksheet'!$J$5:$J$234,'Budget Worksheet'!$B$5:$B$234,'Master Budget'!G268)</f>
        <v>0</v>
      </c>
      <c r="K268" s="113"/>
      <c r="L268" s="113">
        <f>SUMIFS('Budget Worksheet'!$L$5:$L$234,'Budget Worksheet'!$B$5:$B$234,'Master Budget'!G268)</f>
        <v>0</v>
      </c>
      <c r="M268" s="113">
        <f>_xlfn.XLOOKUP(G268,'Budget Worksheet'!$B$5:$B$234,'Budget Worksheet'!$N$5:$N$234,0)</f>
        <v>0</v>
      </c>
      <c r="N268" s="113">
        <f>_xlfn.XLOOKUP(G268,'Budget Worksheet'!$B$5:$B$234,'Budget Worksheet'!$P$5:$P$234,0)</f>
        <v>0</v>
      </c>
      <c r="O268" s="113">
        <f>_xlfn.XLOOKUP(G268,'Budget Worksheet'!$B$4:$B$234,'Budget Worksheet'!$S$4:$S$234,0)</f>
        <v>0</v>
      </c>
      <c r="P268" s="113">
        <f>_xlfn.XLOOKUP(G268,'Budget Worksheet'!$B$4:$B$234,'Budget Worksheet'!$U$4:$U$234,0)</f>
        <v>0</v>
      </c>
      <c r="Q268" s="107" t="e">
        <f>MATCH(G268,'Budget Worksheet'!$B$5:$B$234,0)</f>
        <v>#N/A</v>
      </c>
      <c r="R268" s="112">
        <f t="shared" si="21"/>
        <v>0</v>
      </c>
      <c r="S268" s="108"/>
    </row>
    <row r="269" spans="1:19" x14ac:dyDescent="0.25">
      <c r="A269" s="107">
        <v>258</v>
      </c>
      <c r="B269" s="105" t="s">
        <v>71</v>
      </c>
      <c r="C269" s="105" t="str">
        <f t="shared" si="22"/>
        <v>52</v>
      </c>
      <c r="D269" s="105">
        <v>21100</v>
      </c>
      <c r="E269" s="106" t="s">
        <v>70</v>
      </c>
      <c r="F269" s="107" t="str">
        <f t="shared" si="20"/>
        <v>21100 Accounts Payable</v>
      </c>
      <c r="G269" s="105" t="s">
        <v>692</v>
      </c>
      <c r="H269" s="107" t="s">
        <v>70</v>
      </c>
      <c r="I269" s="112">
        <v>0</v>
      </c>
      <c r="J269" s="113">
        <f>SUMIFS('Budget Worksheet'!$J$5:$J$234,'Budget Worksheet'!$B$5:$B$234,'Master Budget'!G269)</f>
        <v>0</v>
      </c>
      <c r="K269" s="113"/>
      <c r="L269" s="113">
        <f>SUMIFS('Budget Worksheet'!$L$5:$L$234,'Budget Worksheet'!$B$5:$B$234,'Master Budget'!G269)</f>
        <v>0</v>
      </c>
      <c r="M269" s="113">
        <f>_xlfn.XLOOKUP(G269,'Budget Worksheet'!$B$5:$B$234,'Budget Worksheet'!$N$5:$N$234,0)</f>
        <v>0</v>
      </c>
      <c r="N269" s="113">
        <f>_xlfn.XLOOKUP(G269,'Budget Worksheet'!$B$5:$B$234,'Budget Worksheet'!$P$5:$P$234,0)</f>
        <v>0</v>
      </c>
      <c r="O269" s="113">
        <f>_xlfn.XLOOKUP(G269,'Budget Worksheet'!$B$4:$B$234,'Budget Worksheet'!$S$4:$S$234,0)</f>
        <v>0</v>
      </c>
      <c r="P269" s="113">
        <f>_xlfn.XLOOKUP(G269,'Budget Worksheet'!$B$4:$B$234,'Budget Worksheet'!$U$4:$U$234,0)</f>
        <v>0</v>
      </c>
      <c r="Q269" s="107" t="e">
        <f>MATCH(G269,'Budget Worksheet'!$B$5:$B$234,0)</f>
        <v>#N/A</v>
      </c>
      <c r="R269" s="112">
        <f t="shared" si="21"/>
        <v>0</v>
      </c>
      <c r="S269" s="108"/>
    </row>
    <row r="270" spans="1:19" x14ac:dyDescent="0.25">
      <c r="A270" s="107">
        <v>259</v>
      </c>
      <c r="B270" s="105" t="s">
        <v>71</v>
      </c>
      <c r="C270" s="105" t="str">
        <f t="shared" si="22"/>
        <v>52</v>
      </c>
      <c r="D270" s="105">
        <v>22200</v>
      </c>
      <c r="E270" s="106" t="s">
        <v>1040</v>
      </c>
      <c r="F270" s="107" t="str">
        <f t="shared" si="20"/>
        <v>22200 Accrued Expenses</v>
      </c>
      <c r="G270" s="105" t="s">
        <v>694</v>
      </c>
      <c r="H270" s="107" t="s">
        <v>73</v>
      </c>
      <c r="I270" s="112">
        <v>0</v>
      </c>
      <c r="J270" s="113">
        <f>SUMIFS('Budget Worksheet'!$J$5:$J$234,'Budget Worksheet'!$B$5:$B$234,'Master Budget'!G270)</f>
        <v>0</v>
      </c>
      <c r="K270" s="113"/>
      <c r="L270" s="113">
        <f>SUMIFS('Budget Worksheet'!$L$5:$L$234,'Budget Worksheet'!$B$5:$B$234,'Master Budget'!G270)</f>
        <v>0</v>
      </c>
      <c r="M270" s="113">
        <f>_xlfn.XLOOKUP(G270,'Budget Worksheet'!$B$5:$B$234,'Budget Worksheet'!$N$5:$N$234,0)</f>
        <v>0</v>
      </c>
      <c r="N270" s="113">
        <f>_xlfn.XLOOKUP(G270,'Budget Worksheet'!$B$5:$B$234,'Budget Worksheet'!$P$5:$P$234,0)</f>
        <v>0</v>
      </c>
      <c r="O270" s="113">
        <f>_xlfn.XLOOKUP(G270,'Budget Worksheet'!$B$4:$B$234,'Budget Worksheet'!$S$4:$S$234,0)</f>
        <v>0</v>
      </c>
      <c r="P270" s="113">
        <f>_xlfn.XLOOKUP(G270,'Budget Worksheet'!$B$4:$B$234,'Budget Worksheet'!$U$4:$U$234,0)</f>
        <v>0</v>
      </c>
      <c r="Q270" s="107" t="e">
        <f>MATCH(G270,'Budget Worksheet'!$B$5:$B$234,0)</f>
        <v>#N/A</v>
      </c>
      <c r="R270" s="112">
        <f t="shared" si="21"/>
        <v>0</v>
      </c>
      <c r="S270" s="108"/>
    </row>
    <row r="271" spans="1:19" x14ac:dyDescent="0.25">
      <c r="A271" s="107">
        <v>260</v>
      </c>
      <c r="B271" s="105" t="s">
        <v>71</v>
      </c>
      <c r="C271" s="105" t="str">
        <f t="shared" si="22"/>
        <v>52</v>
      </c>
      <c r="D271" s="105">
        <v>22200</v>
      </c>
      <c r="E271" s="106" t="s">
        <v>1040</v>
      </c>
      <c r="F271" s="107" t="str">
        <f t="shared" si="20"/>
        <v>22200 Accrued Expenses</v>
      </c>
      <c r="G271" s="105" t="s">
        <v>695</v>
      </c>
      <c r="H271" s="107" t="s">
        <v>208</v>
      </c>
      <c r="I271" s="112">
        <v>0</v>
      </c>
      <c r="J271" s="113">
        <f>SUMIFS('Budget Worksheet'!$J$5:$J$234,'Budget Worksheet'!$B$5:$B$234,'Master Budget'!G271)</f>
        <v>0</v>
      </c>
      <c r="K271" s="113"/>
      <c r="L271" s="113">
        <f>SUMIFS('Budget Worksheet'!$L$5:$L$234,'Budget Worksheet'!$B$5:$B$234,'Master Budget'!G271)</f>
        <v>0</v>
      </c>
      <c r="M271" s="113">
        <f>_xlfn.XLOOKUP(G271,'Budget Worksheet'!$B$5:$B$234,'Budget Worksheet'!$N$5:$N$234,0)</f>
        <v>0</v>
      </c>
      <c r="N271" s="113">
        <f>_xlfn.XLOOKUP(G271,'Budget Worksheet'!$B$5:$B$234,'Budget Worksheet'!$P$5:$P$234,0)</f>
        <v>0</v>
      </c>
      <c r="O271" s="113">
        <f>_xlfn.XLOOKUP(G271,'Budget Worksheet'!$B$4:$B$234,'Budget Worksheet'!$S$4:$S$234,0)</f>
        <v>0</v>
      </c>
      <c r="P271" s="113">
        <f>_xlfn.XLOOKUP(G271,'Budget Worksheet'!$B$4:$B$234,'Budget Worksheet'!$U$4:$U$234,0)</f>
        <v>0</v>
      </c>
      <c r="Q271" s="107" t="e">
        <f>MATCH(G271,'Budget Worksheet'!$B$5:$B$234,0)</f>
        <v>#N/A</v>
      </c>
      <c r="R271" s="112">
        <f t="shared" si="21"/>
        <v>0</v>
      </c>
      <c r="S271" s="108"/>
    </row>
    <row r="272" spans="1:19" x14ac:dyDescent="0.25">
      <c r="A272" s="107">
        <v>261</v>
      </c>
      <c r="B272" s="105" t="s">
        <v>71</v>
      </c>
      <c r="C272" s="105" t="str">
        <f t="shared" si="22"/>
        <v>52</v>
      </c>
      <c r="D272" s="105">
        <v>22200</v>
      </c>
      <c r="E272" s="106" t="s">
        <v>1040</v>
      </c>
      <c r="F272" s="107" t="str">
        <f t="shared" si="20"/>
        <v>22200 Accrued Expenses</v>
      </c>
      <c r="G272" s="105" t="s">
        <v>696</v>
      </c>
      <c r="H272" s="107" t="s">
        <v>210</v>
      </c>
      <c r="I272" s="112">
        <v>0</v>
      </c>
      <c r="J272" s="113">
        <f>SUMIFS('Budget Worksheet'!$J$5:$J$234,'Budget Worksheet'!$B$5:$B$234,'Master Budget'!G272)</f>
        <v>0</v>
      </c>
      <c r="K272" s="113"/>
      <c r="L272" s="113">
        <f>SUMIFS('Budget Worksheet'!$L$5:$L$234,'Budget Worksheet'!$B$5:$B$234,'Master Budget'!G272)</f>
        <v>0</v>
      </c>
      <c r="M272" s="113">
        <f>_xlfn.XLOOKUP(G272,'Budget Worksheet'!$B$5:$B$234,'Budget Worksheet'!$N$5:$N$234,0)</f>
        <v>0</v>
      </c>
      <c r="N272" s="113">
        <f>_xlfn.XLOOKUP(G272,'Budget Worksheet'!$B$5:$B$234,'Budget Worksheet'!$P$5:$P$234,0)</f>
        <v>0</v>
      </c>
      <c r="O272" s="113">
        <f>_xlfn.XLOOKUP(G272,'Budget Worksheet'!$B$4:$B$234,'Budget Worksheet'!$S$4:$S$234,0)</f>
        <v>0</v>
      </c>
      <c r="P272" s="113">
        <f>_xlfn.XLOOKUP(G272,'Budget Worksheet'!$B$4:$B$234,'Budget Worksheet'!$U$4:$U$234,0)</f>
        <v>0</v>
      </c>
      <c r="Q272" s="107" t="e">
        <f>MATCH(G272,'Budget Worksheet'!$B$5:$B$234,0)</f>
        <v>#N/A</v>
      </c>
      <c r="R272" s="112">
        <f t="shared" si="21"/>
        <v>0</v>
      </c>
      <c r="S272" s="108"/>
    </row>
    <row r="273" spans="1:19" x14ac:dyDescent="0.25">
      <c r="A273" s="107">
        <v>262</v>
      </c>
      <c r="B273" s="105" t="s">
        <v>71</v>
      </c>
      <c r="C273" s="105" t="str">
        <f t="shared" si="22"/>
        <v>52</v>
      </c>
      <c r="D273" s="105">
        <v>22200</v>
      </c>
      <c r="E273" s="106" t="s">
        <v>1040</v>
      </c>
      <c r="F273" s="107" t="str">
        <f t="shared" si="20"/>
        <v>22200 Accrued Expenses</v>
      </c>
      <c r="G273" s="105" t="s">
        <v>697</v>
      </c>
      <c r="H273" s="107" t="s">
        <v>215</v>
      </c>
      <c r="I273" s="112">
        <v>0</v>
      </c>
      <c r="J273" s="113">
        <f>SUMIFS('Budget Worksheet'!$J$5:$J$234,'Budget Worksheet'!$B$5:$B$234,'Master Budget'!G273)</f>
        <v>0</v>
      </c>
      <c r="K273" s="113"/>
      <c r="L273" s="113">
        <f>SUMIFS('Budget Worksheet'!$L$5:$L$234,'Budget Worksheet'!$B$5:$B$234,'Master Budget'!G273)</f>
        <v>0</v>
      </c>
      <c r="M273" s="113">
        <f>_xlfn.XLOOKUP(G273,'Budget Worksheet'!$B$5:$B$234,'Budget Worksheet'!$N$5:$N$234,0)</f>
        <v>0</v>
      </c>
      <c r="N273" s="113">
        <f>_xlfn.XLOOKUP(G273,'Budget Worksheet'!$B$5:$B$234,'Budget Worksheet'!$P$5:$P$234,0)</f>
        <v>0</v>
      </c>
      <c r="O273" s="113">
        <f>_xlfn.XLOOKUP(G273,'Budget Worksheet'!$B$4:$B$234,'Budget Worksheet'!$S$4:$S$234,0)</f>
        <v>0</v>
      </c>
      <c r="P273" s="113">
        <f>_xlfn.XLOOKUP(G273,'Budget Worksheet'!$B$4:$B$234,'Budget Worksheet'!$U$4:$U$234,0)</f>
        <v>0</v>
      </c>
      <c r="Q273" s="107" t="e">
        <f>MATCH(G273,'Budget Worksheet'!$B$5:$B$234,0)</f>
        <v>#N/A</v>
      </c>
      <c r="R273" s="112">
        <f t="shared" si="21"/>
        <v>0</v>
      </c>
      <c r="S273" s="108"/>
    </row>
    <row r="274" spans="1:19" x14ac:dyDescent="0.25">
      <c r="A274" s="107">
        <v>263</v>
      </c>
      <c r="B274" s="105" t="s">
        <v>71</v>
      </c>
      <c r="C274" s="105" t="str">
        <f t="shared" si="22"/>
        <v>52</v>
      </c>
      <c r="D274" s="105">
        <v>22200</v>
      </c>
      <c r="E274" s="106" t="s">
        <v>1040</v>
      </c>
      <c r="F274" s="107" t="str">
        <f t="shared" si="20"/>
        <v>22200 Accrued Expenses</v>
      </c>
      <c r="G274" s="105" t="s">
        <v>698</v>
      </c>
      <c r="H274" s="107" t="s">
        <v>217</v>
      </c>
      <c r="I274" s="112">
        <v>0</v>
      </c>
      <c r="J274" s="113">
        <f>SUMIFS('Budget Worksheet'!$J$5:$J$234,'Budget Worksheet'!$B$5:$B$234,'Master Budget'!G274)</f>
        <v>0</v>
      </c>
      <c r="K274" s="113"/>
      <c r="L274" s="113">
        <f>SUMIFS('Budget Worksheet'!$L$5:$L$234,'Budget Worksheet'!$B$5:$B$234,'Master Budget'!G274)</f>
        <v>0</v>
      </c>
      <c r="M274" s="113">
        <f>_xlfn.XLOOKUP(G274,'Budget Worksheet'!$B$5:$B$234,'Budget Worksheet'!$N$5:$N$234,0)</f>
        <v>0</v>
      </c>
      <c r="N274" s="113">
        <f>_xlfn.XLOOKUP(G274,'Budget Worksheet'!$B$5:$B$234,'Budget Worksheet'!$P$5:$P$234,0)</f>
        <v>0</v>
      </c>
      <c r="O274" s="113">
        <f>_xlfn.XLOOKUP(G274,'Budget Worksheet'!$B$4:$B$234,'Budget Worksheet'!$S$4:$S$234,0)</f>
        <v>0</v>
      </c>
      <c r="P274" s="113">
        <f>_xlfn.XLOOKUP(G274,'Budget Worksheet'!$B$4:$B$234,'Budget Worksheet'!$U$4:$U$234,0)</f>
        <v>0</v>
      </c>
      <c r="Q274" s="107" t="e">
        <f>MATCH(G274,'Budget Worksheet'!$B$5:$B$234,0)</f>
        <v>#N/A</v>
      </c>
      <c r="R274" s="112">
        <f t="shared" si="21"/>
        <v>0</v>
      </c>
      <c r="S274" s="108"/>
    </row>
    <row r="275" spans="1:19" x14ac:dyDescent="0.25">
      <c r="A275" s="107">
        <v>264</v>
      </c>
      <c r="B275" s="105" t="s">
        <v>71</v>
      </c>
      <c r="C275" s="105" t="str">
        <f t="shared" si="22"/>
        <v>52</v>
      </c>
      <c r="D275" s="105">
        <v>22200</v>
      </c>
      <c r="E275" s="106" t="s">
        <v>1040</v>
      </c>
      <c r="F275" s="107" t="str">
        <f t="shared" si="20"/>
        <v>22200 Accrued Expenses</v>
      </c>
      <c r="G275" s="105" t="s">
        <v>699</v>
      </c>
      <c r="H275" s="107" t="s">
        <v>219</v>
      </c>
      <c r="I275" s="112">
        <v>0</v>
      </c>
      <c r="J275" s="113">
        <f>SUMIFS('Budget Worksheet'!$J$5:$J$234,'Budget Worksheet'!$B$5:$B$234,'Master Budget'!G275)</f>
        <v>0</v>
      </c>
      <c r="K275" s="113"/>
      <c r="L275" s="113">
        <f>SUMIFS('Budget Worksheet'!$L$5:$L$234,'Budget Worksheet'!$B$5:$B$234,'Master Budget'!G275)</f>
        <v>0</v>
      </c>
      <c r="M275" s="113">
        <f>_xlfn.XLOOKUP(G275,'Budget Worksheet'!$B$5:$B$234,'Budget Worksheet'!$N$5:$N$234,0)</f>
        <v>0</v>
      </c>
      <c r="N275" s="113">
        <f>_xlfn.XLOOKUP(G275,'Budget Worksheet'!$B$5:$B$234,'Budget Worksheet'!$P$5:$P$234,0)</f>
        <v>0</v>
      </c>
      <c r="O275" s="113">
        <f>_xlfn.XLOOKUP(G275,'Budget Worksheet'!$B$4:$B$234,'Budget Worksheet'!$S$4:$S$234,0)</f>
        <v>0</v>
      </c>
      <c r="P275" s="113">
        <f>_xlfn.XLOOKUP(G275,'Budget Worksheet'!$B$4:$B$234,'Budget Worksheet'!$U$4:$U$234,0)</f>
        <v>0</v>
      </c>
      <c r="Q275" s="107" t="e">
        <f>MATCH(G275,'Budget Worksheet'!$B$5:$B$234,0)</f>
        <v>#N/A</v>
      </c>
      <c r="R275" s="112">
        <f t="shared" si="21"/>
        <v>0</v>
      </c>
      <c r="S275" s="108"/>
    </row>
    <row r="276" spans="1:19" x14ac:dyDescent="0.25">
      <c r="A276" s="107">
        <v>265</v>
      </c>
      <c r="B276" s="105" t="s">
        <v>71</v>
      </c>
      <c r="C276" s="105" t="str">
        <f t="shared" si="22"/>
        <v>52</v>
      </c>
      <c r="D276" s="105">
        <v>23000</v>
      </c>
      <c r="E276" s="106" t="s">
        <v>221</v>
      </c>
      <c r="F276" s="107" t="str">
        <f t="shared" si="20"/>
        <v>23000 Unearned Revenue</v>
      </c>
      <c r="G276" s="105" t="s">
        <v>700</v>
      </c>
      <c r="H276" s="107" t="s">
        <v>221</v>
      </c>
      <c r="I276" s="112">
        <v>0</v>
      </c>
      <c r="J276" s="113">
        <f>SUMIFS('Budget Worksheet'!$J$5:$J$234,'Budget Worksheet'!$B$5:$B$234,'Master Budget'!G276)</f>
        <v>0</v>
      </c>
      <c r="K276" s="113"/>
      <c r="L276" s="113">
        <f>SUMIFS('Budget Worksheet'!$L$5:$L$234,'Budget Worksheet'!$B$5:$B$234,'Master Budget'!G276)</f>
        <v>0</v>
      </c>
      <c r="M276" s="113">
        <f>_xlfn.XLOOKUP(G276,'Budget Worksheet'!$B$5:$B$234,'Budget Worksheet'!$N$5:$N$234,0)</f>
        <v>0</v>
      </c>
      <c r="N276" s="113">
        <f>_xlfn.XLOOKUP(G276,'Budget Worksheet'!$B$5:$B$234,'Budget Worksheet'!$P$5:$P$234,0)</f>
        <v>0</v>
      </c>
      <c r="O276" s="113">
        <f>_xlfn.XLOOKUP(G276,'Budget Worksheet'!$B$4:$B$234,'Budget Worksheet'!$S$4:$S$234,0)</f>
        <v>0</v>
      </c>
      <c r="P276" s="113">
        <f>_xlfn.XLOOKUP(G276,'Budget Worksheet'!$B$4:$B$234,'Budget Worksheet'!$U$4:$U$234,0)</f>
        <v>0</v>
      </c>
      <c r="Q276" s="107" t="e">
        <f>MATCH(G276,'Budget Worksheet'!$B$5:$B$234,0)</f>
        <v>#N/A</v>
      </c>
      <c r="R276" s="112">
        <f t="shared" si="21"/>
        <v>0</v>
      </c>
      <c r="S276" s="108"/>
    </row>
    <row r="277" spans="1:19" x14ac:dyDescent="0.25">
      <c r="A277" s="107">
        <v>266</v>
      </c>
      <c r="B277" s="105" t="s">
        <v>71</v>
      </c>
      <c r="C277" s="105" t="str">
        <f t="shared" si="22"/>
        <v>52</v>
      </c>
      <c r="D277" s="105">
        <v>22200</v>
      </c>
      <c r="E277" s="106" t="s">
        <v>1040</v>
      </c>
      <c r="F277" s="107" t="str">
        <f t="shared" si="20"/>
        <v>22200 Accrued Expenses</v>
      </c>
      <c r="G277" s="105" t="s">
        <v>701</v>
      </c>
      <c r="H277" s="107" t="s">
        <v>89</v>
      </c>
      <c r="I277" s="112">
        <v>0</v>
      </c>
      <c r="J277" s="113">
        <f>SUMIFS('Budget Worksheet'!$J$5:$J$234,'Budget Worksheet'!$B$5:$B$234,'Master Budget'!G277)</f>
        <v>0</v>
      </c>
      <c r="K277" s="113"/>
      <c r="L277" s="113">
        <f>SUMIFS('Budget Worksheet'!$L$5:$L$234,'Budget Worksheet'!$B$5:$B$234,'Master Budget'!G277)</f>
        <v>0</v>
      </c>
      <c r="M277" s="113">
        <f>_xlfn.XLOOKUP(G277,'Budget Worksheet'!$B$5:$B$234,'Budget Worksheet'!$N$5:$N$234,0)</f>
        <v>0</v>
      </c>
      <c r="N277" s="113">
        <f>_xlfn.XLOOKUP(G277,'Budget Worksheet'!$B$5:$B$234,'Budget Worksheet'!$P$5:$P$234,0)</f>
        <v>0</v>
      </c>
      <c r="O277" s="113">
        <f>_xlfn.XLOOKUP(G277,'Budget Worksheet'!$B$4:$B$234,'Budget Worksheet'!$S$4:$S$234,0)</f>
        <v>0</v>
      </c>
      <c r="P277" s="113">
        <f>_xlfn.XLOOKUP(G277,'Budget Worksheet'!$B$4:$B$234,'Budget Worksheet'!$U$4:$U$234,0)</f>
        <v>0</v>
      </c>
      <c r="Q277" s="107" t="e">
        <f>MATCH(G277,'Budget Worksheet'!$B$5:$B$234,0)</f>
        <v>#N/A</v>
      </c>
      <c r="R277" s="112">
        <f t="shared" si="21"/>
        <v>0</v>
      </c>
      <c r="S277" s="108"/>
    </row>
    <row r="278" spans="1:19" x14ac:dyDescent="0.25">
      <c r="A278" s="107">
        <v>267</v>
      </c>
      <c r="B278" s="105" t="s">
        <v>71</v>
      </c>
      <c r="C278" s="105" t="str">
        <f t="shared" si="22"/>
        <v>52</v>
      </c>
      <c r="D278" s="105">
        <v>28000</v>
      </c>
      <c r="E278" s="106" t="s">
        <v>227</v>
      </c>
      <c r="F278" s="107" t="str">
        <f t="shared" si="20"/>
        <v>28000 Accrued Interest Payable</v>
      </c>
      <c r="G278" s="105" t="s">
        <v>704</v>
      </c>
      <c r="H278" s="107" t="s">
        <v>705</v>
      </c>
      <c r="I278" s="112">
        <v>0</v>
      </c>
      <c r="J278" s="113">
        <f>SUMIFS('Budget Worksheet'!$J$5:$J$234,'Budget Worksheet'!$B$5:$B$234,'Master Budget'!G278)</f>
        <v>0</v>
      </c>
      <c r="K278" s="113"/>
      <c r="L278" s="113">
        <f>SUMIFS('Budget Worksheet'!$L$5:$L$234,'Budget Worksheet'!$B$5:$B$234,'Master Budget'!G278)</f>
        <v>0</v>
      </c>
      <c r="M278" s="113">
        <f>_xlfn.XLOOKUP(G278,'Budget Worksheet'!$B$5:$B$234,'Budget Worksheet'!$N$5:$N$234,0)</f>
        <v>0</v>
      </c>
      <c r="N278" s="113">
        <f>_xlfn.XLOOKUP(G278,'Budget Worksheet'!$B$5:$B$234,'Budget Worksheet'!$P$5:$P$234,0)</f>
        <v>0</v>
      </c>
      <c r="O278" s="113">
        <f>_xlfn.XLOOKUP(G278,'Budget Worksheet'!$B$4:$B$234,'Budget Worksheet'!$S$4:$S$234,0)</f>
        <v>0</v>
      </c>
      <c r="P278" s="113">
        <f>_xlfn.XLOOKUP(G278,'Budget Worksheet'!$B$4:$B$234,'Budget Worksheet'!$U$4:$U$234,0)</f>
        <v>0</v>
      </c>
      <c r="Q278" s="107" t="e">
        <f>MATCH(G278,'Budget Worksheet'!$B$5:$B$234,0)</f>
        <v>#N/A</v>
      </c>
      <c r="R278" s="112">
        <f t="shared" si="21"/>
        <v>0</v>
      </c>
      <c r="S278" s="108"/>
    </row>
    <row r="279" spans="1:19" x14ac:dyDescent="0.25">
      <c r="A279" s="107">
        <v>268</v>
      </c>
      <c r="B279" s="105" t="s">
        <v>71</v>
      </c>
      <c r="C279" s="105" t="str">
        <f t="shared" si="22"/>
        <v>52</v>
      </c>
      <c r="D279" s="105">
        <v>28521</v>
      </c>
      <c r="E279" s="106" t="s">
        <v>1045</v>
      </c>
      <c r="F279" s="107" t="str">
        <f t="shared" si="20"/>
        <v>28521 Capital Leases Payable - Current</v>
      </c>
      <c r="G279" s="105" t="s">
        <v>707</v>
      </c>
      <c r="H279" s="107" t="s">
        <v>235</v>
      </c>
      <c r="I279" s="112">
        <v>0</v>
      </c>
      <c r="J279" s="113">
        <f>SUMIFS('Budget Worksheet'!$J$5:$J$234,'Budget Worksheet'!$B$5:$B$234,'Master Budget'!G279)</f>
        <v>0</v>
      </c>
      <c r="K279" s="113"/>
      <c r="L279" s="113">
        <f>SUMIFS('Budget Worksheet'!$L$5:$L$234,'Budget Worksheet'!$B$5:$B$234,'Master Budget'!G279)</f>
        <v>0</v>
      </c>
      <c r="M279" s="113">
        <f>_xlfn.XLOOKUP(G279,'Budget Worksheet'!$B$5:$B$234,'Budget Worksheet'!$N$5:$N$234,0)</f>
        <v>0</v>
      </c>
      <c r="N279" s="113">
        <f>_xlfn.XLOOKUP(G279,'Budget Worksheet'!$B$5:$B$234,'Budget Worksheet'!$P$5:$P$234,0)</f>
        <v>0</v>
      </c>
      <c r="O279" s="113">
        <f>_xlfn.XLOOKUP(G279,'Budget Worksheet'!$B$4:$B$234,'Budget Worksheet'!$S$4:$S$234,0)</f>
        <v>0</v>
      </c>
      <c r="P279" s="113">
        <f>_xlfn.XLOOKUP(G279,'Budget Worksheet'!$B$4:$B$234,'Budget Worksheet'!$U$4:$U$234,0)</f>
        <v>0</v>
      </c>
      <c r="Q279" s="107" t="e">
        <f>MATCH(G279,'Budget Worksheet'!$B$5:$B$234,0)</f>
        <v>#N/A</v>
      </c>
      <c r="R279" s="112">
        <f t="shared" si="21"/>
        <v>0</v>
      </c>
      <c r="S279" s="108"/>
    </row>
    <row r="280" spans="1:19" x14ac:dyDescent="0.25">
      <c r="A280" s="107">
        <v>269</v>
      </c>
      <c r="B280" s="105" t="s">
        <v>71</v>
      </c>
      <c r="C280" s="105" t="str">
        <f t="shared" si="22"/>
        <v>52</v>
      </c>
      <c r="D280" s="105">
        <v>28540</v>
      </c>
      <c r="E280" s="106" t="s">
        <v>1046</v>
      </c>
      <c r="F280" s="107" t="str">
        <f t="shared" si="20"/>
        <v>28540 Bonds Payable - Non Current</v>
      </c>
      <c r="G280" s="105" t="s">
        <v>708</v>
      </c>
      <c r="H280" s="107" t="s">
        <v>709</v>
      </c>
      <c r="I280" s="112">
        <v>0</v>
      </c>
      <c r="J280" s="113">
        <f>SUMIFS('Budget Worksheet'!$J$5:$J$234,'Budget Worksheet'!$B$5:$B$234,'Master Budget'!G280)</f>
        <v>0</v>
      </c>
      <c r="K280" s="113"/>
      <c r="L280" s="113">
        <f>SUMIFS('Budget Worksheet'!$L$5:$L$234,'Budget Worksheet'!$B$5:$B$234,'Master Budget'!G280)</f>
        <v>0</v>
      </c>
      <c r="M280" s="113">
        <f>_xlfn.XLOOKUP(G280,'Budget Worksheet'!$B$5:$B$234,'Budget Worksheet'!$N$5:$N$234,0)</f>
        <v>0</v>
      </c>
      <c r="N280" s="113">
        <f>_xlfn.XLOOKUP(G280,'Budget Worksheet'!$B$5:$B$234,'Budget Worksheet'!$P$5:$P$234,0)</f>
        <v>0</v>
      </c>
      <c r="O280" s="113">
        <f>_xlfn.XLOOKUP(G280,'Budget Worksheet'!$B$4:$B$234,'Budget Worksheet'!$S$4:$S$234,0)</f>
        <v>0</v>
      </c>
      <c r="P280" s="113">
        <f>_xlfn.XLOOKUP(G280,'Budget Worksheet'!$B$4:$B$234,'Budget Worksheet'!$U$4:$U$234,0)</f>
        <v>0</v>
      </c>
      <c r="Q280" s="107" t="e">
        <f>MATCH(G280,'Budget Worksheet'!$B$5:$B$234,0)</f>
        <v>#N/A</v>
      </c>
      <c r="R280" s="112">
        <f t="shared" si="21"/>
        <v>0</v>
      </c>
      <c r="S280" s="108"/>
    </row>
    <row r="281" spans="1:19" x14ac:dyDescent="0.25">
      <c r="A281" s="107">
        <v>270</v>
      </c>
      <c r="B281" s="105" t="s">
        <v>71</v>
      </c>
      <c r="C281" s="105" t="str">
        <f t="shared" si="22"/>
        <v>52</v>
      </c>
      <c r="D281" s="105">
        <v>28520</v>
      </c>
      <c r="E281" s="106" t="s">
        <v>1044</v>
      </c>
      <c r="F281" s="107" t="str">
        <f t="shared" si="20"/>
        <v>28520 Capital Leases Payable  - Non Current</v>
      </c>
      <c r="G281" s="105" t="s">
        <v>714</v>
      </c>
      <c r="H281" s="107" t="s">
        <v>462</v>
      </c>
      <c r="I281" s="112">
        <v>0</v>
      </c>
      <c r="J281" s="113">
        <f>SUMIFS('Budget Worksheet'!$J$5:$J$234,'Budget Worksheet'!$B$5:$B$234,'Master Budget'!G281)</f>
        <v>0</v>
      </c>
      <c r="K281" s="113"/>
      <c r="L281" s="113">
        <f>SUMIFS('Budget Worksheet'!$L$5:$L$234,'Budget Worksheet'!$B$5:$B$234,'Master Budget'!G281)</f>
        <v>0</v>
      </c>
      <c r="M281" s="113">
        <f>_xlfn.XLOOKUP(G281,'Budget Worksheet'!$B$5:$B$234,'Budget Worksheet'!$N$5:$N$234,0)</f>
        <v>0</v>
      </c>
      <c r="N281" s="113">
        <f>_xlfn.XLOOKUP(G281,'Budget Worksheet'!$B$5:$B$234,'Budget Worksheet'!$P$5:$P$234,0)</f>
        <v>0</v>
      </c>
      <c r="O281" s="113">
        <f>_xlfn.XLOOKUP(G281,'Budget Worksheet'!$B$4:$B$234,'Budget Worksheet'!$S$4:$S$234,0)</f>
        <v>0</v>
      </c>
      <c r="P281" s="113">
        <f>_xlfn.XLOOKUP(G281,'Budget Worksheet'!$B$4:$B$234,'Budget Worksheet'!$U$4:$U$234,0)</f>
        <v>0</v>
      </c>
      <c r="Q281" s="107" t="e">
        <f>MATCH(G281,'Budget Worksheet'!$B$5:$B$234,0)</f>
        <v>#N/A</v>
      </c>
      <c r="R281" s="112">
        <f t="shared" si="21"/>
        <v>0</v>
      </c>
      <c r="S281" s="108"/>
    </row>
    <row r="282" spans="1:19" x14ac:dyDescent="0.25">
      <c r="A282" s="107">
        <v>271</v>
      </c>
      <c r="B282" s="105" t="s">
        <v>1049</v>
      </c>
      <c r="C282" s="105" t="str">
        <f t="shared" si="22"/>
        <v>52</v>
      </c>
      <c r="D282" s="105">
        <v>29100</v>
      </c>
      <c r="E282" s="106" t="s">
        <v>1050</v>
      </c>
      <c r="F282" s="107" t="str">
        <f t="shared" ref="F282:F313" si="23">D282&amp;" "&amp;E282</f>
        <v>29100 Unrestricted</v>
      </c>
      <c r="G282" s="105" t="s">
        <v>716</v>
      </c>
      <c r="H282" s="107" t="s">
        <v>246</v>
      </c>
      <c r="I282" s="112">
        <v>0</v>
      </c>
      <c r="J282" s="113">
        <f>SUMIFS('Budget Worksheet'!$J$5:$J$234,'Budget Worksheet'!$B$5:$B$234,'Master Budget'!G282)</f>
        <v>0</v>
      </c>
      <c r="K282" s="113"/>
      <c r="L282" s="113">
        <f>SUMIFS('Budget Worksheet'!$L$5:$L$234,'Budget Worksheet'!$B$5:$B$234,'Master Budget'!G282)</f>
        <v>0</v>
      </c>
      <c r="M282" s="113">
        <f>_xlfn.XLOOKUP(G282,'Budget Worksheet'!$B$5:$B$234,'Budget Worksheet'!$N$5:$N$234,0)</f>
        <v>0</v>
      </c>
      <c r="N282" s="113">
        <f>_xlfn.XLOOKUP(G282,'Budget Worksheet'!$B$5:$B$234,'Budget Worksheet'!$P$5:$P$234,0)</f>
        <v>0</v>
      </c>
      <c r="O282" s="113">
        <f>_xlfn.XLOOKUP(G282,'Budget Worksheet'!$B$4:$B$234,'Budget Worksheet'!$S$4:$S$234,0)</f>
        <v>0</v>
      </c>
      <c r="P282" s="113">
        <f>_xlfn.XLOOKUP(G282,'Budget Worksheet'!$B$4:$B$234,'Budget Worksheet'!$U$4:$U$234,0)</f>
        <v>0</v>
      </c>
      <c r="Q282" s="107" t="e">
        <f>MATCH(G282,'Budget Worksheet'!$B$5:$B$234,0)</f>
        <v>#N/A</v>
      </c>
      <c r="R282" s="112">
        <f t="shared" si="21"/>
        <v>0</v>
      </c>
      <c r="S282" s="108"/>
    </row>
    <row r="283" spans="1:19" x14ac:dyDescent="0.25">
      <c r="A283" s="107">
        <v>272</v>
      </c>
      <c r="B283" s="105" t="s">
        <v>97</v>
      </c>
      <c r="C283" s="105" t="str">
        <f t="shared" si="22"/>
        <v>52</v>
      </c>
      <c r="D283" s="105">
        <v>70</v>
      </c>
      <c r="E283" s="106" t="s">
        <v>20</v>
      </c>
      <c r="F283" s="107" t="str">
        <f t="shared" si="23"/>
        <v>70 Grant revenue</v>
      </c>
      <c r="G283" s="105" t="s">
        <v>717</v>
      </c>
      <c r="H283" s="107" t="s">
        <v>831</v>
      </c>
      <c r="I283" s="112">
        <v>-5183000</v>
      </c>
      <c r="J283" s="113">
        <f>SUMIFS('Budget Worksheet'!$J$5:$J$234,'Budget Worksheet'!$B$5:$B$234,'Master Budget'!G283)</f>
        <v>-5183000</v>
      </c>
      <c r="K283" s="113">
        <f>_xlfn.XLOOKUP(G283,'Budget Worksheet'!$B$5:$B$234,'Budget Worksheet'!$G$5:$G$234,0)</f>
        <v>0</v>
      </c>
      <c r="L283" s="113">
        <f>SUMIFS('Budget Worksheet'!$L$5:$L$234,'Budget Worksheet'!$B$5:$B$234,'Master Budget'!G283)</f>
        <v>-8183000</v>
      </c>
      <c r="M283" s="113">
        <f>_xlfn.XLOOKUP(G283,'Budget Worksheet'!$B$5:$B$234,'Budget Worksheet'!$N$5:$N$234,0)</f>
        <v>-8183000</v>
      </c>
      <c r="N283" s="113">
        <f>_xlfn.XLOOKUP(G283,'Budget Worksheet'!$B$5:$B$234,'Budget Worksheet'!$P$5:$P$234,0)</f>
        <v>0</v>
      </c>
      <c r="O283" s="113">
        <f>_xlfn.XLOOKUP(G283,'Budget Worksheet'!$B$4:$B$234,'Budget Worksheet'!$S$4:$S$234,0)</f>
        <v>-2619841.59</v>
      </c>
      <c r="P283" s="113">
        <f>_xlfn.XLOOKUP(G283,'Budget Worksheet'!$B$4:$B$234,'Budget Worksheet'!$U$4:$U$234,0)</f>
        <v>0</v>
      </c>
      <c r="Q283" s="107">
        <f>MATCH(G283,'Budget Worksheet'!$B$5:$B$234,0)</f>
        <v>158</v>
      </c>
      <c r="R283" s="112">
        <f t="shared" si="21"/>
        <v>-26732000</v>
      </c>
      <c r="S283" s="108"/>
    </row>
    <row r="284" spans="1:19" x14ac:dyDescent="0.25">
      <c r="A284" s="107">
        <v>273</v>
      </c>
      <c r="B284" s="105" t="s">
        <v>97</v>
      </c>
      <c r="C284" s="105" t="str">
        <f t="shared" si="22"/>
        <v>52</v>
      </c>
      <c r="D284" s="105">
        <v>30</v>
      </c>
      <c r="E284" s="106" t="s">
        <v>6</v>
      </c>
      <c r="F284" s="107" t="str">
        <f t="shared" si="23"/>
        <v>30 Charges for services</v>
      </c>
      <c r="G284" s="105" t="s">
        <v>719</v>
      </c>
      <c r="H284" s="107" t="s">
        <v>720</v>
      </c>
      <c r="I284" s="112">
        <v>-685000</v>
      </c>
      <c r="J284" s="113">
        <f>SUMIFS('Budget Worksheet'!$J$5:$J$234,'Budget Worksheet'!$B$5:$B$234,'Master Budget'!G284)</f>
        <v>-685000</v>
      </c>
      <c r="K284" s="113">
        <f>_xlfn.XLOOKUP(G284,'Budget Worksheet'!$B$5:$B$234,'Budget Worksheet'!$G$5:$G$234,0)</f>
        <v>-883849.0285714285</v>
      </c>
      <c r="L284" s="113">
        <f>SUMIFS('Budget Worksheet'!$L$5:$L$234,'Budget Worksheet'!$B$5:$B$234,'Master Budget'!G284)</f>
        <v>-685000</v>
      </c>
      <c r="M284" s="113">
        <f>_xlfn.XLOOKUP(G284,'Budget Worksheet'!$B$5:$B$234,'Budget Worksheet'!$N$5:$N$234,0)</f>
        <v>-685000</v>
      </c>
      <c r="N284" s="113">
        <f>_xlfn.XLOOKUP(G284,'Budget Worksheet'!$B$5:$B$234,'Budget Worksheet'!$P$5:$P$234,0)</f>
        <v>-685000</v>
      </c>
      <c r="O284" s="113">
        <f>_xlfn.XLOOKUP(G284,'Budget Worksheet'!$B$4:$B$234,'Budget Worksheet'!$S$4:$S$234,0)</f>
        <v>-685000</v>
      </c>
      <c r="P284" s="113">
        <f>_xlfn.XLOOKUP(G284,'Budget Worksheet'!$B$4:$B$234,'Budget Worksheet'!$U$4:$U$234,0)</f>
        <v>-685000</v>
      </c>
      <c r="Q284" s="107">
        <f>MATCH(G284,'Budget Worksheet'!$B$5:$B$234,0)</f>
        <v>159</v>
      </c>
      <c r="R284" s="112">
        <f t="shared" si="21"/>
        <v>-4308849.0285714287</v>
      </c>
      <c r="S284" s="108"/>
    </row>
    <row r="285" spans="1:19" x14ac:dyDescent="0.25">
      <c r="A285" s="107">
        <v>274</v>
      </c>
      <c r="B285" s="105" t="s">
        <v>97</v>
      </c>
      <c r="C285" s="105" t="str">
        <f t="shared" si="22"/>
        <v>52</v>
      </c>
      <c r="D285" s="105">
        <v>960</v>
      </c>
      <c r="E285" s="106" t="s">
        <v>19</v>
      </c>
      <c r="F285" s="107" t="str">
        <f t="shared" si="23"/>
        <v>960 Interest income</v>
      </c>
      <c r="G285" s="105" t="s">
        <v>721</v>
      </c>
      <c r="H285" s="107" t="s">
        <v>256</v>
      </c>
      <c r="I285" s="112">
        <v>0</v>
      </c>
      <c r="J285" s="113">
        <f>SUMIFS('Budget Worksheet'!$J$5:$J$234,'Budget Worksheet'!$B$5:$B$234,'Master Budget'!G285)</f>
        <v>0</v>
      </c>
      <c r="K285" s="113"/>
      <c r="L285" s="113">
        <f>SUMIFS('Budget Worksheet'!$L$5:$L$234,'Budget Worksheet'!$B$5:$B$234,'Master Budget'!G285)</f>
        <v>0</v>
      </c>
      <c r="M285" s="113">
        <f>_xlfn.XLOOKUP(G285,'Budget Worksheet'!$B$5:$B$234,'Budget Worksheet'!$N$5:$N$234,0)</f>
        <v>0</v>
      </c>
      <c r="N285" s="113">
        <f>_xlfn.XLOOKUP(G285,'Budget Worksheet'!$B$5:$B$234,'Budget Worksheet'!$P$5:$P$234,0)</f>
        <v>0</v>
      </c>
      <c r="O285" s="113">
        <f>_xlfn.XLOOKUP(G285,'Budget Worksheet'!$B$4:$B$234,'Budget Worksheet'!$S$4:$S$234,0)</f>
        <v>0</v>
      </c>
      <c r="P285" s="113">
        <f>_xlfn.XLOOKUP(G285,'Budget Worksheet'!$B$4:$B$234,'Budget Worksheet'!$U$4:$U$234,0)</f>
        <v>0</v>
      </c>
      <c r="Q285" s="107">
        <f>MATCH(G285,'Budget Worksheet'!$B$5:$B$234,0)</f>
        <v>160</v>
      </c>
      <c r="R285" s="112">
        <f t="shared" si="21"/>
        <v>0</v>
      </c>
      <c r="S285" s="108"/>
    </row>
    <row r="286" spans="1:19" x14ac:dyDescent="0.25">
      <c r="A286" s="107">
        <v>275</v>
      </c>
      <c r="B286" s="105" t="s">
        <v>97</v>
      </c>
      <c r="C286" s="105" t="str">
        <f t="shared" si="22"/>
        <v>52</v>
      </c>
      <c r="D286" s="105">
        <v>30</v>
      </c>
      <c r="E286" s="106" t="s">
        <v>6</v>
      </c>
      <c r="F286" s="107" t="str">
        <f t="shared" si="23"/>
        <v>30 Charges for services</v>
      </c>
      <c r="G286" s="105" t="s">
        <v>722</v>
      </c>
      <c r="H286" s="107" t="s">
        <v>99</v>
      </c>
      <c r="I286" s="112">
        <v>-479.70000000000005</v>
      </c>
      <c r="J286" s="113">
        <f>SUMIFS('Budget Worksheet'!$J$5:$J$234,'Budget Worksheet'!$B$5:$B$234,'Master Budget'!G286)</f>
        <v>-480</v>
      </c>
      <c r="K286" s="113">
        <f>_xlfn.XLOOKUP(G286,'Budget Worksheet'!$B$5:$B$234,'Budget Worksheet'!$G$5:$G$234,0)</f>
        <v>0</v>
      </c>
      <c r="L286" s="113">
        <f>SUMIFS('Budget Worksheet'!$L$5:$L$234,'Budget Worksheet'!$B$5:$B$234,'Master Budget'!G286)</f>
        <v>-480</v>
      </c>
      <c r="M286" s="113">
        <f>_xlfn.XLOOKUP(G286,'Budget Worksheet'!$B$5:$B$234,'Budget Worksheet'!$N$5:$N$234,0)</f>
        <v>-480</v>
      </c>
      <c r="N286" s="113">
        <f>_xlfn.XLOOKUP(G286,'Budget Worksheet'!$B$5:$B$234,'Budget Worksheet'!$P$5:$P$234,0)</f>
        <v>-480</v>
      </c>
      <c r="O286" s="113">
        <f>_xlfn.XLOOKUP(G286,'Budget Worksheet'!$B$4:$B$234,'Budget Worksheet'!$S$4:$S$234,0)</f>
        <v>-480</v>
      </c>
      <c r="P286" s="113">
        <f>_xlfn.XLOOKUP(G286,'Budget Worksheet'!$B$4:$B$234,'Budget Worksheet'!$U$4:$U$234,0)</f>
        <v>-480</v>
      </c>
      <c r="Q286" s="107">
        <f>MATCH(G286,'Budget Worksheet'!$B$5:$B$234,0)</f>
        <v>161</v>
      </c>
      <c r="R286" s="112">
        <f t="shared" si="21"/>
        <v>-2399.6999999999998</v>
      </c>
      <c r="S286" s="108"/>
    </row>
    <row r="287" spans="1:19" x14ac:dyDescent="0.25">
      <c r="A287" s="107">
        <v>276</v>
      </c>
      <c r="B287" s="105" t="s">
        <v>97</v>
      </c>
      <c r="C287" s="105" t="str">
        <f t="shared" si="22"/>
        <v>52</v>
      </c>
      <c r="D287" s="105">
        <v>960</v>
      </c>
      <c r="E287" s="106" t="s">
        <v>19</v>
      </c>
      <c r="F287" s="107" t="str">
        <f t="shared" si="23"/>
        <v>960 Interest income</v>
      </c>
      <c r="G287" s="105" t="s">
        <v>723</v>
      </c>
      <c r="H287" s="107" t="s">
        <v>467</v>
      </c>
      <c r="I287" s="112">
        <v>-240000</v>
      </c>
      <c r="J287" s="113">
        <f>SUMIFS('Budget Worksheet'!$J$5:$J$234,'Budget Worksheet'!$B$5:$B$234,'Master Budget'!G287)</f>
        <v>-240000</v>
      </c>
      <c r="K287" s="113">
        <f>_xlfn.XLOOKUP(G287,'Budget Worksheet'!$B$5:$B$234,'Budget Worksheet'!$G$5:$G$234,0)</f>
        <v>-136551.84000000003</v>
      </c>
      <c r="L287" s="113">
        <f>SUMIFS('Budget Worksheet'!$L$5:$L$234,'Budget Worksheet'!$B$5:$B$234,'Master Budget'!G287)</f>
        <v>-240000</v>
      </c>
      <c r="M287" s="113">
        <f>_xlfn.XLOOKUP(G287,'Budget Worksheet'!$B$5:$B$234,'Budget Worksheet'!$N$5:$N$234,0)</f>
        <v>-240000</v>
      </c>
      <c r="N287" s="113">
        <f>_xlfn.XLOOKUP(G287,'Budget Worksheet'!$B$5:$B$234,'Budget Worksheet'!$P$5:$P$234,0)</f>
        <v>-50000</v>
      </c>
      <c r="O287" s="113">
        <f>_xlfn.XLOOKUP(G287,'Budget Worksheet'!$B$4:$B$234,'Budget Worksheet'!$S$4:$S$234,0)</f>
        <v>-50000</v>
      </c>
      <c r="P287" s="113">
        <f>_xlfn.XLOOKUP(G287,'Budget Worksheet'!$B$4:$B$234,'Budget Worksheet'!$U$4:$U$234,0)</f>
        <v>-50000</v>
      </c>
      <c r="Q287" s="107">
        <f>MATCH(G287,'Budget Worksheet'!$B$5:$B$234,0)</f>
        <v>162</v>
      </c>
      <c r="R287" s="112">
        <f t="shared" si="21"/>
        <v>-1146551.8400000001</v>
      </c>
      <c r="S287" s="108"/>
    </row>
    <row r="288" spans="1:19" x14ac:dyDescent="0.25">
      <c r="A288" s="107">
        <v>277</v>
      </c>
      <c r="B288" s="105" t="s">
        <v>102</v>
      </c>
      <c r="C288" s="105" t="str">
        <f t="shared" si="22"/>
        <v>52</v>
      </c>
      <c r="D288" s="105">
        <v>100</v>
      </c>
      <c r="E288" s="106" t="s">
        <v>9</v>
      </c>
      <c r="F288" s="107" t="str">
        <f t="shared" si="23"/>
        <v>100 Salaries and Benefits</v>
      </c>
      <c r="G288" s="105" t="s">
        <v>733</v>
      </c>
      <c r="H288" s="107" t="s">
        <v>1078</v>
      </c>
      <c r="I288" s="112">
        <v>240279.85554166665</v>
      </c>
      <c r="J288" s="113">
        <f>SUMIFS('Budget Worksheet'!$J$5:$J$234,'Budget Worksheet'!$B$5:$B$234,'Master Budget'!G288)</f>
        <v>240280</v>
      </c>
      <c r="K288" s="113">
        <f>_xlfn.XLOOKUP(G288,'Budget Worksheet'!$B$5:$B$234,'Budget Worksheet'!$G$5:$G$234,0)</f>
        <v>260161.37142857141</v>
      </c>
      <c r="L288" s="113">
        <f>SUMIFS('Budget Worksheet'!$L$5:$L$234,'Budget Worksheet'!$B$5:$B$234,'Master Budget'!G288)</f>
        <v>221514.31</v>
      </c>
      <c r="M288" s="113">
        <f>_xlfn.XLOOKUP(G288,'Budget Worksheet'!$B$5:$B$234,'Budget Worksheet'!$N$5:$N$234,0)</f>
        <v>221514.31</v>
      </c>
      <c r="N288" s="113">
        <f>_xlfn.XLOOKUP(G288,'Budget Worksheet'!$B$5:$B$234,'Budget Worksheet'!$P$5:$P$234,0)</f>
        <v>259590.18340500002</v>
      </c>
      <c r="O288" s="113">
        <f>_xlfn.XLOOKUP(G288,'Budget Worksheet'!$B$4:$B$234,'Budget Worksheet'!$S$4:$S$234,0)</f>
        <v>258650.34900000002</v>
      </c>
      <c r="P288" s="113">
        <f>_xlfn.XLOOKUP(G288,'Budget Worksheet'!$B$4:$B$234,'Budget Worksheet'!$U$4:$U$234,0)</f>
        <v>210153.56189999994</v>
      </c>
      <c r="Q288" s="107">
        <f>MATCH(G288,'Budget Worksheet'!$B$5:$B$234,0)</f>
        <v>169</v>
      </c>
      <c r="R288" s="112">
        <f t="shared" si="21"/>
        <v>1443340.030375238</v>
      </c>
      <c r="S288" s="108"/>
    </row>
    <row r="289" spans="1:19" x14ac:dyDescent="0.25">
      <c r="A289" s="107">
        <v>278</v>
      </c>
      <c r="B289" s="105" t="s">
        <v>102</v>
      </c>
      <c r="C289" s="105" t="str">
        <f t="shared" si="22"/>
        <v>52</v>
      </c>
      <c r="D289" s="105">
        <v>100</v>
      </c>
      <c r="E289" s="106" t="s">
        <v>9</v>
      </c>
      <c r="F289" s="107" t="str">
        <f t="shared" si="23"/>
        <v>100 Salaries and Benefits</v>
      </c>
      <c r="G289" s="105" t="s">
        <v>735</v>
      </c>
      <c r="H289" s="107" t="s">
        <v>104</v>
      </c>
      <c r="I289" s="112">
        <v>18381.408948937496</v>
      </c>
      <c r="J289" s="113">
        <f>SUMIFS('Budget Worksheet'!$J$5:$J$234,'Budget Worksheet'!$B$5:$B$234,'Master Budget'!G289)</f>
        <v>18381</v>
      </c>
      <c r="K289" s="113">
        <f>_xlfn.XLOOKUP(G289,'Budget Worksheet'!$B$5:$B$234,'Budget Worksheet'!$G$5:$G$234,0)</f>
        <v>21491.211428571431</v>
      </c>
      <c r="L289" s="113">
        <f>SUMIFS('Budget Worksheet'!$L$5:$L$234,'Budget Worksheet'!$B$5:$B$234,'Master Budget'!G289)</f>
        <v>16945.844714999999</v>
      </c>
      <c r="M289" s="113">
        <f>_xlfn.XLOOKUP(G289,'Budget Worksheet'!$B$5:$B$234,'Budget Worksheet'!$N$5:$N$234,0)</f>
        <v>16945.844714999999</v>
      </c>
      <c r="N289" s="113">
        <f>_xlfn.XLOOKUP(G289,'Budget Worksheet'!$B$5:$B$234,'Budget Worksheet'!$P$5:$P$234,0)</f>
        <v>19858.649030482498</v>
      </c>
      <c r="O289" s="113">
        <f>_xlfn.XLOOKUP(G289,'Budget Worksheet'!$B$4:$B$234,'Budget Worksheet'!$S$4:$S$234,0)</f>
        <v>19786.7516985</v>
      </c>
      <c r="P289" s="113">
        <f>_xlfn.XLOOKUP(G289,'Budget Worksheet'!$B$4:$B$234,'Budget Worksheet'!$U$4:$U$234,0)</f>
        <v>16076.747485349995</v>
      </c>
      <c r="Q289" s="107">
        <f>MATCH(G289,'Budget Worksheet'!$B$5:$B$234,0)</f>
        <v>170</v>
      </c>
      <c r="R289" s="112">
        <f t="shared" si="21"/>
        <v>112003.95883799142</v>
      </c>
      <c r="S289" s="108"/>
    </row>
    <row r="290" spans="1:19" x14ac:dyDescent="0.25">
      <c r="A290" s="107">
        <v>279</v>
      </c>
      <c r="B290" s="105" t="s">
        <v>102</v>
      </c>
      <c r="C290" s="105" t="str">
        <f t="shared" si="22"/>
        <v>52</v>
      </c>
      <c r="D290" s="105">
        <v>100</v>
      </c>
      <c r="E290" s="106" t="s">
        <v>9</v>
      </c>
      <c r="F290" s="107" t="str">
        <f t="shared" si="23"/>
        <v>100 Salaries and Benefits</v>
      </c>
      <c r="G290" s="105" t="s">
        <v>736</v>
      </c>
      <c r="H290" s="107" t="s">
        <v>106</v>
      </c>
      <c r="I290" s="112">
        <v>23075.381108333331</v>
      </c>
      <c r="J290" s="113">
        <f>SUMIFS('Budget Worksheet'!$J$5:$J$234,'Budget Worksheet'!$B$5:$B$234,'Master Budget'!G290)</f>
        <v>30000</v>
      </c>
      <c r="K290" s="113">
        <f>_xlfn.XLOOKUP(G290,'Budget Worksheet'!$B$5:$B$234,'Budget Worksheet'!$G$5:$G$234,0)</f>
        <v>48144.274285714288</v>
      </c>
      <c r="L290" s="113">
        <f>SUMIFS('Budget Worksheet'!$L$5:$L$234,'Budget Worksheet'!$B$5:$B$234,'Master Budget'!G290)</f>
        <v>31944.720000000001</v>
      </c>
      <c r="M290" s="113">
        <f>_xlfn.XLOOKUP(G290,'Budget Worksheet'!$B$5:$B$234,'Budget Worksheet'!$N$5:$N$234,0)</f>
        <v>31944.720000000001</v>
      </c>
      <c r="N290" s="113">
        <f>_xlfn.XLOOKUP(G290,'Budget Worksheet'!$B$5:$B$234,'Budget Worksheet'!$P$5:$P$234,0)</f>
        <v>39004.434000000008</v>
      </c>
      <c r="O290" s="113">
        <f>_xlfn.XLOOKUP(G290,'Budget Worksheet'!$B$4:$B$234,'Budget Worksheet'!$S$4:$S$234,0)</f>
        <v>38885.520000000004</v>
      </c>
      <c r="P290" s="113">
        <f>_xlfn.XLOOKUP(G290,'Budget Worksheet'!$B$4:$B$234,'Budget Worksheet'!$U$4:$U$234,0)</f>
        <v>30695.847519999999</v>
      </c>
      <c r="Q290" s="107">
        <f>MATCH(G290,'Budget Worksheet'!$B$5:$B$234,0)</f>
        <v>171</v>
      </c>
      <c r="R290" s="112">
        <f t="shared" si="21"/>
        <v>204113.52939404763</v>
      </c>
      <c r="S290" s="108"/>
    </row>
    <row r="291" spans="1:19" x14ac:dyDescent="0.25">
      <c r="A291" s="107">
        <v>280</v>
      </c>
      <c r="B291" s="105" t="s">
        <v>102</v>
      </c>
      <c r="C291" s="105" t="str">
        <f t="shared" si="22"/>
        <v>52</v>
      </c>
      <c r="D291" s="105">
        <v>100</v>
      </c>
      <c r="E291" s="106" t="s">
        <v>9</v>
      </c>
      <c r="F291" s="107" t="str">
        <f t="shared" si="23"/>
        <v>100 Salaries and Benefits</v>
      </c>
      <c r="G291" s="105" t="s">
        <v>737</v>
      </c>
      <c r="H291" s="107" t="s">
        <v>108</v>
      </c>
      <c r="I291" s="112">
        <v>43334.661416597228</v>
      </c>
      <c r="J291" s="113">
        <f>SUMIFS('Budget Worksheet'!$J$5:$J$234,'Budget Worksheet'!$B$5:$B$234,'Master Budget'!G291)</f>
        <v>43335</v>
      </c>
      <c r="K291" s="113">
        <f>_xlfn.XLOOKUP(G291,'Budget Worksheet'!$B$5:$B$234,'Budget Worksheet'!$G$5:$G$234,0)</f>
        <v>52674.531428571434</v>
      </c>
      <c r="L291" s="113">
        <f>SUMIFS('Budget Worksheet'!$L$5:$L$234,'Budget Worksheet'!$B$5:$B$234,'Master Budget'!G291)</f>
        <v>50232.110999999997</v>
      </c>
      <c r="M291" s="113">
        <f>_xlfn.XLOOKUP(G291,'Budget Worksheet'!$B$5:$B$234,'Budget Worksheet'!$N$5:$N$234,0)</f>
        <v>50232.110999999997</v>
      </c>
      <c r="N291" s="113">
        <f>_xlfn.XLOOKUP(G291,'Budget Worksheet'!$B$5:$B$234,'Budget Worksheet'!$P$5:$P$234,0)</f>
        <v>53007.742125000004</v>
      </c>
      <c r="O291" s="113">
        <f>_xlfn.XLOOKUP(G291,'Budget Worksheet'!$B$4:$B$234,'Budget Worksheet'!$S$4:$S$234,0)</f>
        <v>53023.255799999999</v>
      </c>
      <c r="P291" s="113">
        <f>_xlfn.XLOOKUP(G291,'Budget Worksheet'!$B$4:$B$234,'Budget Worksheet'!$U$4:$U$234,0)</f>
        <v>114383.75237599999</v>
      </c>
      <c r="Q291" s="107">
        <f>MATCH(G291,'Budget Worksheet'!$B$5:$B$234,0)</f>
        <v>172</v>
      </c>
      <c r="R291" s="112">
        <f t="shared" si="21"/>
        <v>292816.1569701687</v>
      </c>
      <c r="S291" s="108"/>
    </row>
    <row r="292" spans="1:19" x14ac:dyDescent="0.25">
      <c r="A292" s="107">
        <v>281</v>
      </c>
      <c r="B292" s="105" t="s">
        <v>102</v>
      </c>
      <c r="C292" s="105" t="str">
        <f t="shared" si="22"/>
        <v>52</v>
      </c>
      <c r="D292" s="105">
        <v>100</v>
      </c>
      <c r="E292" s="106" t="s">
        <v>9</v>
      </c>
      <c r="F292" s="107" t="str">
        <f t="shared" si="23"/>
        <v>100 Salaries and Benefits</v>
      </c>
      <c r="G292" s="105" t="s">
        <v>738</v>
      </c>
      <c r="H292" s="107" t="s">
        <v>110</v>
      </c>
      <c r="I292" s="112">
        <v>6099.0569357458326</v>
      </c>
      <c r="J292" s="113">
        <f>SUMIFS('Budget Worksheet'!$J$5:$J$234,'Budget Worksheet'!$B$5:$B$234,'Master Budget'!G292)</f>
        <v>6099</v>
      </c>
      <c r="K292" s="113">
        <f>_xlfn.XLOOKUP(G292,'Budget Worksheet'!$B$5:$B$234,'Budget Worksheet'!$G$5:$G$234,0)</f>
        <v>1723.2685714285717</v>
      </c>
      <c r="L292" s="113">
        <f>SUMIFS('Budget Worksheet'!$L$5:$L$234,'Budget Worksheet'!$B$5:$B$234,'Master Budget'!G292)</f>
        <v>4262.7552000000005</v>
      </c>
      <c r="M292" s="113">
        <f>_xlfn.XLOOKUP(G292,'Budget Worksheet'!$B$5:$B$234,'Budget Worksheet'!$N$5:$N$234,0)</f>
        <v>4262.7552000000005</v>
      </c>
      <c r="N292" s="113">
        <f>_xlfn.XLOOKUP(G292,'Budget Worksheet'!$B$5:$B$234,'Budget Worksheet'!$P$5:$P$234,0)</f>
        <v>5007.4078656000002</v>
      </c>
      <c r="O292" s="113">
        <f>_xlfn.XLOOKUP(G292,'Budget Worksheet'!$B$4:$B$234,'Budget Worksheet'!$S$4:$S$234,0)</f>
        <v>4985.4406399999998</v>
      </c>
      <c r="P292" s="113">
        <f>_xlfn.XLOOKUP(G292,'Budget Worksheet'!$B$4:$B$234,'Budget Worksheet'!$U$4:$U$234,0)</f>
        <v>4006.0952379999999</v>
      </c>
      <c r="Q292" s="107">
        <f>MATCH(G292,'Budget Worksheet'!$B$5:$B$234,0)</f>
        <v>173</v>
      </c>
      <c r="R292" s="112">
        <f t="shared" si="21"/>
        <v>27454.243772774404</v>
      </c>
      <c r="S292" s="108"/>
    </row>
    <row r="293" spans="1:19" x14ac:dyDescent="0.25">
      <c r="A293" s="107">
        <v>282</v>
      </c>
      <c r="B293" s="105" t="s">
        <v>102</v>
      </c>
      <c r="C293" s="105" t="str">
        <f t="shared" si="22"/>
        <v>52</v>
      </c>
      <c r="D293" s="105">
        <v>100</v>
      </c>
      <c r="E293" s="106" t="s">
        <v>9</v>
      </c>
      <c r="F293" s="107" t="str">
        <f t="shared" si="23"/>
        <v>100 Salaries and Benefits</v>
      </c>
      <c r="G293" s="105" t="s">
        <v>739</v>
      </c>
      <c r="H293" s="107" t="s">
        <v>112</v>
      </c>
      <c r="I293" s="112">
        <v>0</v>
      </c>
      <c r="J293" s="113">
        <f>SUMIFS('Budget Worksheet'!$J$5:$J$234,'Budget Worksheet'!$B$5:$B$234,'Master Budget'!G293)</f>
        <v>8000</v>
      </c>
      <c r="K293" s="113">
        <f>_xlfn.XLOOKUP(G293,'Budget Worksheet'!$B$5:$B$234,'Budget Worksheet'!$G$5:$G$234,0)</f>
        <v>21360.154285714285</v>
      </c>
      <c r="L293" s="113">
        <f>SUMIFS('Budget Worksheet'!$L$5:$L$234,'Budget Worksheet'!$B$5:$B$234,'Master Budget'!G293)</f>
        <v>0</v>
      </c>
      <c r="M293" s="113">
        <f>_xlfn.XLOOKUP(G293,'Budget Worksheet'!$B$5:$B$234,'Budget Worksheet'!$N$5:$N$234,0)</f>
        <v>10000</v>
      </c>
      <c r="N293" s="113">
        <f>_xlfn.XLOOKUP(G293,'Budget Worksheet'!$B$5:$B$234,'Budget Worksheet'!$P$5:$P$234,0)</f>
        <v>0</v>
      </c>
      <c r="O293" s="113">
        <f>_xlfn.XLOOKUP(G293,'Budget Worksheet'!$B$4:$B$234,'Budget Worksheet'!$S$4:$S$234,0)</f>
        <v>0</v>
      </c>
      <c r="P293" s="113">
        <f>_xlfn.XLOOKUP(G293,'Budget Worksheet'!$B$4:$B$234,'Budget Worksheet'!$U$4:$U$234,0)</f>
        <v>0</v>
      </c>
      <c r="Q293" s="107">
        <f>MATCH(G293,'Budget Worksheet'!$B$5:$B$234,0)</f>
        <v>174</v>
      </c>
      <c r="R293" s="112">
        <f t="shared" si="21"/>
        <v>39360.154285714285</v>
      </c>
      <c r="S293" s="108"/>
    </row>
    <row r="294" spans="1:19" x14ac:dyDescent="0.25">
      <c r="A294" s="107">
        <v>283</v>
      </c>
      <c r="B294" s="105" t="s">
        <v>102</v>
      </c>
      <c r="C294" s="105" t="str">
        <f t="shared" si="22"/>
        <v>52</v>
      </c>
      <c r="D294" s="105">
        <v>100</v>
      </c>
      <c r="E294" s="106" t="s">
        <v>9</v>
      </c>
      <c r="F294" s="107" t="str">
        <f t="shared" si="23"/>
        <v>100 Salaries and Benefits</v>
      </c>
      <c r="G294" s="105" t="s">
        <v>740</v>
      </c>
      <c r="H294" s="107" t="s">
        <v>114</v>
      </c>
      <c r="I294" s="112">
        <v>99</v>
      </c>
      <c r="J294" s="113">
        <f>SUMIFS('Budget Worksheet'!$J$5:$J$234,'Budget Worksheet'!$B$5:$B$234,'Master Budget'!G294)</f>
        <v>99</v>
      </c>
      <c r="K294" s="113">
        <f>_xlfn.XLOOKUP(G294,'Budget Worksheet'!$B$5:$B$234,'Budget Worksheet'!$G$5:$G$234,0)</f>
        <v>16.902857142857144</v>
      </c>
      <c r="L294" s="113">
        <f>SUMIFS('Budget Worksheet'!$L$5:$L$234,'Budget Worksheet'!$B$5:$B$234,'Master Budget'!G294)</f>
        <v>72</v>
      </c>
      <c r="M294" s="113">
        <f>_xlfn.XLOOKUP(G294,'Budget Worksheet'!$B$5:$B$234,'Budget Worksheet'!$N$5:$N$234,0)</f>
        <v>72</v>
      </c>
      <c r="N294" s="113">
        <f>_xlfn.XLOOKUP(G294,'Budget Worksheet'!$B$5:$B$234,'Budget Worksheet'!$P$5:$P$234,0)</f>
        <v>76.800000000000011</v>
      </c>
      <c r="O294" s="113">
        <f>_xlfn.XLOOKUP(G294,'Budget Worksheet'!$B$4:$B$234,'Budget Worksheet'!$S$4:$S$234,0)</f>
        <v>76.800000000000011</v>
      </c>
      <c r="P294" s="113">
        <f>_xlfn.XLOOKUP(G294,'Budget Worksheet'!$B$4:$B$234,'Budget Worksheet'!$U$4:$U$234,0)</f>
        <v>134.40000000000003</v>
      </c>
      <c r="Q294" s="107">
        <f>MATCH(G294,'Budget Worksheet'!$B$5:$B$234,0)</f>
        <v>175</v>
      </c>
      <c r="R294" s="112">
        <f t="shared" si="21"/>
        <v>435.70285714285717</v>
      </c>
      <c r="S294" s="108"/>
    </row>
    <row r="295" spans="1:19" x14ac:dyDescent="0.25">
      <c r="A295" s="107">
        <v>284</v>
      </c>
      <c r="B295" s="105" t="s">
        <v>102</v>
      </c>
      <c r="C295" s="105" t="str">
        <f t="shared" si="22"/>
        <v>52</v>
      </c>
      <c r="D295" s="105">
        <v>100</v>
      </c>
      <c r="E295" s="106" t="s">
        <v>9</v>
      </c>
      <c r="F295" s="107" t="str">
        <f t="shared" si="23"/>
        <v>100 Salaries and Benefits</v>
      </c>
      <c r="G295" s="105" t="s">
        <v>741</v>
      </c>
      <c r="H295" s="107" t="s">
        <v>276</v>
      </c>
      <c r="I295" s="112">
        <v>0</v>
      </c>
      <c r="J295" s="113">
        <f>SUMIFS('Budget Worksheet'!$J$5:$J$234,'Budget Worksheet'!$B$5:$B$234,'Master Budget'!G295)</f>
        <v>550</v>
      </c>
      <c r="K295" s="113">
        <f>_xlfn.XLOOKUP(G295,'Budget Worksheet'!$B$5:$B$234,'Budget Worksheet'!$G$5:$G$234,0)</f>
        <v>92.88</v>
      </c>
      <c r="L295" s="113">
        <f>SUMIFS('Budget Worksheet'!$L$5:$L$234,'Budget Worksheet'!$B$5:$B$234,'Master Budget'!G295)</f>
        <v>0</v>
      </c>
      <c r="M295" s="113">
        <f>_xlfn.XLOOKUP(G295,'Budget Worksheet'!$B$5:$B$234,'Budget Worksheet'!$N$5:$N$234,0)</f>
        <v>600</v>
      </c>
      <c r="N295" s="113">
        <f>_xlfn.XLOOKUP(G295,'Budget Worksheet'!$B$5:$B$234,'Budget Worksheet'!$P$5:$P$234,0)</f>
        <v>600</v>
      </c>
      <c r="O295" s="113">
        <f>_xlfn.XLOOKUP(G295,'Budget Worksheet'!$B$4:$B$234,'Budget Worksheet'!$S$4:$S$234,0)</f>
        <v>600</v>
      </c>
      <c r="P295" s="113">
        <f>_xlfn.XLOOKUP(G295,'Budget Worksheet'!$B$4:$B$234,'Budget Worksheet'!$U$4:$U$234,0)</f>
        <v>600</v>
      </c>
      <c r="Q295" s="107">
        <f>MATCH(G295,'Budget Worksheet'!$B$5:$B$234,0)</f>
        <v>176</v>
      </c>
      <c r="R295" s="112">
        <f t="shared" si="21"/>
        <v>1842.88</v>
      </c>
      <c r="S295" s="108"/>
    </row>
    <row r="296" spans="1:19" x14ac:dyDescent="0.25">
      <c r="B296" s="105" t="s">
        <v>102</v>
      </c>
      <c r="C296" s="105" t="str">
        <f t="shared" si="22"/>
        <v>52</v>
      </c>
      <c r="D296" s="105">
        <v>100</v>
      </c>
      <c r="E296" s="106" t="s">
        <v>9</v>
      </c>
      <c r="F296" s="107" t="str">
        <f t="shared" si="23"/>
        <v>100 Salaries and Benefits</v>
      </c>
      <c r="G296" s="105" t="s">
        <v>742</v>
      </c>
      <c r="H296" s="107" t="s">
        <v>278</v>
      </c>
      <c r="I296" s="112"/>
      <c r="J296" s="113">
        <f>SUMIFS('Budget Worksheet'!$J$5:$J$234,'Budget Worksheet'!$B$5:$B$234,'Master Budget'!G296)</f>
        <v>0</v>
      </c>
      <c r="K296" s="113"/>
      <c r="L296" s="113">
        <f>SUMIFS('Budget Worksheet'!$L$5:$L$234,'Budget Worksheet'!$B$5:$B$234,'Master Budget'!G296)</f>
        <v>0</v>
      </c>
      <c r="M296" s="113">
        <f>_xlfn.XLOOKUP(G296,'Budget Worksheet'!$B$5:$B$234,'Budget Worksheet'!$N$5:$N$234,0)</f>
        <v>0</v>
      </c>
      <c r="N296" s="113">
        <f>_xlfn.XLOOKUP(G296,'Budget Worksheet'!$B$5:$B$234,'Budget Worksheet'!$P$5:$P$234,0)</f>
        <v>0</v>
      </c>
      <c r="O296" s="113">
        <f>_xlfn.XLOOKUP(G296,'Budget Worksheet'!$B$4:$B$234,'Budget Worksheet'!$S$4:$S$234,0)</f>
        <v>0</v>
      </c>
      <c r="P296" s="113">
        <f>_xlfn.XLOOKUP(G296,'Budget Worksheet'!$B$4:$B$234,'Budget Worksheet'!$U$4:$U$234,0)</f>
        <v>0</v>
      </c>
      <c r="Q296" s="107">
        <f>MATCH(G296,'Budget Worksheet'!$B$5:$B$234,0)</f>
        <v>177</v>
      </c>
      <c r="R296" s="112">
        <f t="shared" si="21"/>
        <v>0</v>
      </c>
      <c r="S296" s="108"/>
    </row>
    <row r="297" spans="1:19" x14ac:dyDescent="0.25">
      <c r="A297" s="107">
        <v>285</v>
      </c>
      <c r="B297" s="105" t="s">
        <v>102</v>
      </c>
      <c r="C297" s="105" t="str">
        <f t="shared" si="22"/>
        <v>52</v>
      </c>
      <c r="D297" s="105">
        <v>200</v>
      </c>
      <c r="E297" s="106" t="s">
        <v>10</v>
      </c>
      <c r="F297" s="107" t="str">
        <f t="shared" si="23"/>
        <v>200 General and Administrative</v>
      </c>
      <c r="G297" s="105" t="s">
        <v>743</v>
      </c>
      <c r="H297" s="107" t="s">
        <v>1054</v>
      </c>
      <c r="I297" s="112">
        <v>5500</v>
      </c>
      <c r="J297" s="113">
        <f>SUMIFS('Budget Worksheet'!$J$5:$J$234,'Budget Worksheet'!$B$5:$B$234,'Master Budget'!G297)</f>
        <v>5500</v>
      </c>
      <c r="K297" s="113">
        <f>_xlfn.XLOOKUP(G297,'Budget Worksheet'!$B$5:$B$234,'Budget Worksheet'!$G$5:$G$234,0)</f>
        <v>9722.52</v>
      </c>
      <c r="L297" s="113">
        <f>SUMIFS('Budget Worksheet'!$L$5:$L$234,'Budget Worksheet'!$B$5:$B$234,'Master Budget'!G297)</f>
        <v>5500</v>
      </c>
      <c r="M297" s="113">
        <f>_xlfn.XLOOKUP(G297,'Budget Worksheet'!$B$5:$B$234,'Budget Worksheet'!$N$5:$N$234,0)</f>
        <v>7000</v>
      </c>
      <c r="N297" s="113">
        <f>_xlfn.XLOOKUP(G297,'Budget Worksheet'!$B$5:$B$234,'Budget Worksheet'!$P$5:$P$234,0)</f>
        <v>7000</v>
      </c>
      <c r="O297" s="113">
        <f>_xlfn.XLOOKUP(G297,'Budget Worksheet'!$B$4:$B$234,'Budget Worksheet'!$S$4:$S$234,0)</f>
        <v>7000</v>
      </c>
      <c r="P297" s="113">
        <f>_xlfn.XLOOKUP(G297,'Budget Worksheet'!$B$4:$B$234,'Budget Worksheet'!$U$4:$U$234,0)</f>
        <v>7000</v>
      </c>
      <c r="Q297" s="107">
        <f>MATCH(G297,'Budget Worksheet'!$B$5:$B$234,0)</f>
        <v>178</v>
      </c>
      <c r="R297" s="112">
        <f t="shared" si="21"/>
        <v>40222.520000000004</v>
      </c>
      <c r="S297" s="108"/>
    </row>
    <row r="298" spans="1:19" x14ac:dyDescent="0.25">
      <c r="A298" s="107">
        <v>286</v>
      </c>
      <c r="B298" s="105" t="s">
        <v>102</v>
      </c>
      <c r="C298" s="105" t="str">
        <f t="shared" si="22"/>
        <v>52</v>
      </c>
      <c r="D298" s="105">
        <v>200</v>
      </c>
      <c r="E298" s="106" t="s">
        <v>10</v>
      </c>
      <c r="F298" s="107" t="str">
        <f t="shared" si="23"/>
        <v>200 General and Administrative</v>
      </c>
      <c r="G298" s="105" t="s">
        <v>744</v>
      </c>
      <c r="H298" s="107" t="s">
        <v>1055</v>
      </c>
      <c r="I298" s="112">
        <v>0</v>
      </c>
      <c r="J298" s="113">
        <f>SUMIFS('Budget Worksheet'!$J$5:$J$234,'Budget Worksheet'!$B$5:$B$234,'Master Budget'!G298)</f>
        <v>5300</v>
      </c>
      <c r="K298" s="113">
        <f>_xlfn.XLOOKUP(G298,'Budget Worksheet'!$B$5:$B$234,'Budget Worksheet'!$G$5:$G$234,0)</f>
        <v>14928.102857142854</v>
      </c>
      <c r="L298" s="113">
        <f>SUMIFS('Budget Worksheet'!$L$5:$L$234,'Budget Worksheet'!$B$5:$B$234,'Master Budget'!G298)</f>
        <v>2800</v>
      </c>
      <c r="M298" s="113">
        <f>_xlfn.XLOOKUP(G298,'Budget Worksheet'!$B$5:$B$234,'Budget Worksheet'!$N$5:$N$234,0)</f>
        <v>2800</v>
      </c>
      <c r="N298" s="113">
        <f>_xlfn.XLOOKUP(G298,'Budget Worksheet'!$B$5:$B$234,'Budget Worksheet'!$P$5:$P$234,0)</f>
        <v>2800</v>
      </c>
      <c r="O298" s="113">
        <f>_xlfn.XLOOKUP(G298,'Budget Worksheet'!$B$4:$B$234,'Budget Worksheet'!$S$4:$S$234,0)</f>
        <v>12000</v>
      </c>
      <c r="P298" s="113">
        <f>_xlfn.XLOOKUP(G298,'Budget Worksheet'!$B$4:$B$234,'Budget Worksheet'!$U$4:$U$234,0)</f>
        <v>12000</v>
      </c>
      <c r="Q298" s="107">
        <f>MATCH(G298,'Budget Worksheet'!$B$5:$B$234,0)</f>
        <v>179</v>
      </c>
      <c r="R298" s="112">
        <f t="shared" si="21"/>
        <v>28628.102857142854</v>
      </c>
      <c r="S298" s="108"/>
    </row>
    <row r="299" spans="1:19" x14ac:dyDescent="0.25">
      <c r="A299" s="107">
        <v>287</v>
      </c>
      <c r="B299" s="105" t="s">
        <v>102</v>
      </c>
      <c r="C299" s="105" t="str">
        <f t="shared" si="22"/>
        <v>52</v>
      </c>
      <c r="D299" s="105">
        <v>200</v>
      </c>
      <c r="E299" s="106" t="s">
        <v>10</v>
      </c>
      <c r="F299" s="107" t="str">
        <f t="shared" si="23"/>
        <v>200 General and Administrative</v>
      </c>
      <c r="G299" s="105" t="s">
        <v>745</v>
      </c>
      <c r="H299" s="107" t="s">
        <v>124</v>
      </c>
      <c r="I299" s="112">
        <v>10000</v>
      </c>
      <c r="J299" s="113">
        <f>SUMIFS('Budget Worksheet'!$J$5:$J$234,'Budget Worksheet'!$B$5:$B$234,'Master Budget'!G299)</f>
        <v>10000</v>
      </c>
      <c r="K299" s="113">
        <f>_xlfn.XLOOKUP(G299,'Budget Worksheet'!$B$5:$B$234,'Budget Worksheet'!$G$5:$G$234,0)</f>
        <v>12717.531428571428</v>
      </c>
      <c r="L299" s="113">
        <f>SUMIFS('Budget Worksheet'!$L$5:$L$234,'Budget Worksheet'!$B$5:$B$234,'Master Budget'!G299)</f>
        <v>10000</v>
      </c>
      <c r="M299" s="113">
        <f>_xlfn.XLOOKUP(G299,'Budget Worksheet'!$B$5:$B$234,'Budget Worksheet'!$N$5:$N$234,0)</f>
        <v>10000</v>
      </c>
      <c r="N299" s="113">
        <f>_xlfn.XLOOKUP(G299,'Budget Worksheet'!$B$5:$B$234,'Budget Worksheet'!$P$5:$P$234,0)</f>
        <v>10000</v>
      </c>
      <c r="O299" s="113">
        <f>_xlfn.XLOOKUP(G299,'Budget Worksheet'!$B$4:$B$234,'Budget Worksheet'!$S$4:$S$234,0)</f>
        <v>10000</v>
      </c>
      <c r="P299" s="113">
        <f>_xlfn.XLOOKUP(G299,'Budget Worksheet'!$B$4:$B$234,'Budget Worksheet'!$U$4:$U$234,0)</f>
        <v>10000</v>
      </c>
      <c r="Q299" s="107">
        <f>MATCH(G299,'Budget Worksheet'!$B$5:$B$234,0)</f>
        <v>180</v>
      </c>
      <c r="R299" s="112">
        <f t="shared" si="21"/>
        <v>62717.531428571427</v>
      </c>
      <c r="S299" s="108"/>
    </row>
    <row r="300" spans="1:19" x14ac:dyDescent="0.25">
      <c r="A300" s="107">
        <v>288</v>
      </c>
      <c r="B300" s="105" t="s">
        <v>102</v>
      </c>
      <c r="C300" s="105" t="str">
        <f t="shared" si="22"/>
        <v>52</v>
      </c>
      <c r="D300" s="105">
        <v>200</v>
      </c>
      <c r="E300" s="106" t="s">
        <v>10</v>
      </c>
      <c r="F300" s="107" t="str">
        <f t="shared" si="23"/>
        <v>200 General and Administrative</v>
      </c>
      <c r="G300" s="105" t="s">
        <v>746</v>
      </c>
      <c r="H300" s="107" t="s">
        <v>126</v>
      </c>
      <c r="I300" s="112">
        <v>8000</v>
      </c>
      <c r="J300" s="113">
        <f>SUMIFS('Budget Worksheet'!$J$5:$J$234,'Budget Worksheet'!$B$5:$B$234,'Master Budget'!G300)</f>
        <v>8000</v>
      </c>
      <c r="K300" s="113">
        <f>_xlfn.XLOOKUP(G300,'Budget Worksheet'!$B$5:$B$234,'Budget Worksheet'!$G$5:$G$234,0)</f>
        <v>4470.6171428571433</v>
      </c>
      <c r="L300" s="113">
        <f>SUMIFS('Budget Worksheet'!$L$5:$L$234,'Budget Worksheet'!$B$5:$B$234,'Master Budget'!G300)</f>
        <v>8000</v>
      </c>
      <c r="M300" s="113">
        <f>_xlfn.XLOOKUP(G300,'Budget Worksheet'!$B$5:$B$234,'Budget Worksheet'!$N$5:$N$234,0)</f>
        <v>8000</v>
      </c>
      <c r="N300" s="113">
        <f>_xlfn.XLOOKUP(G300,'Budget Worksheet'!$B$5:$B$234,'Budget Worksheet'!$P$5:$P$234,0)</f>
        <v>8000</v>
      </c>
      <c r="O300" s="113">
        <f>_xlfn.XLOOKUP(G300,'Budget Worksheet'!$B$4:$B$234,'Budget Worksheet'!$S$4:$S$234,0)</f>
        <v>8000</v>
      </c>
      <c r="P300" s="113">
        <f>_xlfn.XLOOKUP(G300,'Budget Worksheet'!$B$4:$B$234,'Budget Worksheet'!$U$4:$U$234,0)</f>
        <v>8000</v>
      </c>
      <c r="Q300" s="107">
        <f>MATCH(G300,'Budget Worksheet'!$B$5:$B$234,0)</f>
        <v>181</v>
      </c>
      <c r="R300" s="112">
        <f t="shared" si="21"/>
        <v>44470.61714285714</v>
      </c>
      <c r="S300" s="108"/>
    </row>
    <row r="301" spans="1:19" x14ac:dyDescent="0.25">
      <c r="A301" s="107">
        <v>289</v>
      </c>
      <c r="B301" s="105" t="s">
        <v>102</v>
      </c>
      <c r="C301" s="105" t="str">
        <f t="shared" si="22"/>
        <v>52</v>
      </c>
      <c r="D301" s="105">
        <v>200</v>
      </c>
      <c r="E301" s="106" t="s">
        <v>10</v>
      </c>
      <c r="F301" s="107" t="str">
        <f t="shared" si="23"/>
        <v>200 General and Administrative</v>
      </c>
      <c r="G301" s="105" t="s">
        <v>747</v>
      </c>
      <c r="H301" s="107" t="s">
        <v>287</v>
      </c>
      <c r="I301" s="112">
        <v>6000</v>
      </c>
      <c r="J301" s="113">
        <f>SUMIFS('Budget Worksheet'!$J$5:$J$234,'Budget Worksheet'!$B$5:$B$234,'Master Budget'!G301)</f>
        <v>6000</v>
      </c>
      <c r="K301" s="113">
        <f>_xlfn.XLOOKUP(G301,'Budget Worksheet'!$B$5:$B$234,'Budget Worksheet'!$G$5:$G$234,0)</f>
        <v>4342.8</v>
      </c>
      <c r="L301" s="113">
        <f>SUMIFS('Budget Worksheet'!$L$5:$L$234,'Budget Worksheet'!$B$5:$B$234,'Master Budget'!G301)</f>
        <v>6000</v>
      </c>
      <c r="M301" s="113">
        <f>_xlfn.XLOOKUP(G301,'Budget Worksheet'!$B$5:$B$234,'Budget Worksheet'!$N$5:$N$234,0)</f>
        <v>6000</v>
      </c>
      <c r="N301" s="113">
        <f>_xlfn.XLOOKUP(G301,'Budget Worksheet'!$B$5:$B$234,'Budget Worksheet'!$P$5:$P$234,0)</f>
        <v>6000</v>
      </c>
      <c r="O301" s="113">
        <f>_xlfn.XLOOKUP(G301,'Budget Worksheet'!$B$4:$B$234,'Budget Worksheet'!$S$4:$S$234,0)</f>
        <v>6000</v>
      </c>
      <c r="P301" s="113">
        <f>_xlfn.XLOOKUP(G301,'Budget Worksheet'!$B$4:$B$234,'Budget Worksheet'!$U$4:$U$234,0)</f>
        <v>6000</v>
      </c>
      <c r="Q301" s="107">
        <f>MATCH(G301,'Budget Worksheet'!$B$5:$B$234,0)</f>
        <v>182</v>
      </c>
      <c r="R301" s="112">
        <f t="shared" si="21"/>
        <v>34342.800000000003</v>
      </c>
      <c r="S301" s="108"/>
    </row>
    <row r="302" spans="1:19" x14ac:dyDescent="0.25">
      <c r="A302" s="107">
        <v>290</v>
      </c>
      <c r="B302" s="105" t="s">
        <v>102</v>
      </c>
      <c r="C302" s="105" t="str">
        <f t="shared" si="22"/>
        <v>52</v>
      </c>
      <c r="D302" s="105">
        <v>200</v>
      </c>
      <c r="E302" s="106" t="s">
        <v>10</v>
      </c>
      <c r="F302" s="107" t="str">
        <f t="shared" si="23"/>
        <v>200 General and Administrative</v>
      </c>
      <c r="G302" s="105" t="s">
        <v>748</v>
      </c>
      <c r="H302" s="107" t="s">
        <v>132</v>
      </c>
      <c r="I302" s="112">
        <v>10000</v>
      </c>
      <c r="J302" s="113">
        <f>SUMIFS('Budget Worksheet'!$J$5:$J$234,'Budget Worksheet'!$B$5:$B$234,'Master Budget'!G302)</f>
        <v>10000</v>
      </c>
      <c r="K302" s="113">
        <f>_xlfn.XLOOKUP(G302,'Budget Worksheet'!$B$5:$B$234,'Budget Worksheet'!$G$5:$G$234,0)</f>
        <v>4827.3942857142856</v>
      </c>
      <c r="L302" s="113">
        <f>SUMIFS('Budget Worksheet'!$L$5:$L$234,'Budget Worksheet'!$B$5:$B$234,'Master Budget'!G302)</f>
        <v>10000</v>
      </c>
      <c r="M302" s="113">
        <f>_xlfn.XLOOKUP(G302,'Budget Worksheet'!$B$5:$B$234,'Budget Worksheet'!$N$5:$N$234,0)</f>
        <v>100000</v>
      </c>
      <c r="N302" s="113">
        <f>_xlfn.XLOOKUP(G302,'Budget Worksheet'!$B$5:$B$234,'Budget Worksheet'!$P$5:$P$234,0)</f>
        <v>100000</v>
      </c>
      <c r="O302" s="113">
        <f>_xlfn.XLOOKUP(G302,'Budget Worksheet'!$B$4:$B$234,'Budget Worksheet'!$S$4:$S$234,0)</f>
        <v>100000</v>
      </c>
      <c r="P302" s="113">
        <f>_xlfn.XLOOKUP(G302,'Budget Worksheet'!$B$4:$B$234,'Budget Worksheet'!$U$4:$U$234,0)</f>
        <v>100000</v>
      </c>
      <c r="Q302" s="107">
        <f>MATCH(G302,'Budget Worksheet'!$B$5:$B$234,0)</f>
        <v>183</v>
      </c>
      <c r="R302" s="112">
        <f t="shared" si="21"/>
        <v>234827.39428571428</v>
      </c>
      <c r="S302" s="108"/>
    </row>
    <row r="303" spans="1:19" x14ac:dyDescent="0.25">
      <c r="A303" s="107">
        <v>291</v>
      </c>
      <c r="B303" s="105" t="s">
        <v>102</v>
      </c>
      <c r="C303" s="105" t="str">
        <f t="shared" si="22"/>
        <v>52</v>
      </c>
      <c r="D303" s="105">
        <v>200</v>
      </c>
      <c r="E303" s="106" t="s">
        <v>10</v>
      </c>
      <c r="F303" s="107" t="str">
        <f t="shared" si="23"/>
        <v>200 General and Administrative</v>
      </c>
      <c r="G303" s="105" t="s">
        <v>749</v>
      </c>
      <c r="H303" s="107" t="s">
        <v>291</v>
      </c>
      <c r="I303" s="112">
        <v>500</v>
      </c>
      <c r="J303" s="113">
        <f>SUMIFS('Budget Worksheet'!$J$5:$J$234,'Budget Worksheet'!$B$5:$B$234,'Master Budget'!G303)</f>
        <v>500</v>
      </c>
      <c r="K303" s="113">
        <f>_xlfn.XLOOKUP(G303,'Budget Worksheet'!$B$5:$B$234,'Budget Worksheet'!$G$5:$G$234,0)</f>
        <v>53.485714285714288</v>
      </c>
      <c r="L303" s="113">
        <f>SUMIFS('Budget Worksheet'!$L$5:$L$234,'Budget Worksheet'!$B$5:$B$234,'Master Budget'!G303)</f>
        <v>500</v>
      </c>
      <c r="M303" s="113">
        <f>_xlfn.XLOOKUP(G303,'Budget Worksheet'!$B$5:$B$234,'Budget Worksheet'!$N$5:$N$234,0)</f>
        <v>500</v>
      </c>
      <c r="N303" s="113">
        <f>_xlfn.XLOOKUP(G303,'Budget Worksheet'!$B$5:$B$234,'Budget Worksheet'!$P$5:$P$234,0)</f>
        <v>500</v>
      </c>
      <c r="O303" s="113">
        <f>_xlfn.XLOOKUP(G303,'Budget Worksheet'!$B$4:$B$234,'Budget Worksheet'!$S$4:$S$234,0)</f>
        <v>500</v>
      </c>
      <c r="P303" s="113">
        <f>_xlfn.XLOOKUP(G303,'Budget Worksheet'!$B$4:$B$234,'Budget Worksheet'!$U$4:$U$234,0)</f>
        <v>500</v>
      </c>
      <c r="Q303" s="107">
        <f>MATCH(G303,'Budget Worksheet'!$B$5:$B$234,0)</f>
        <v>184</v>
      </c>
      <c r="R303" s="112">
        <f t="shared" si="21"/>
        <v>2553.4857142857145</v>
      </c>
      <c r="S303" s="108"/>
    </row>
    <row r="304" spans="1:19" x14ac:dyDescent="0.25">
      <c r="B304" s="105" t="s">
        <v>102</v>
      </c>
      <c r="C304" s="105" t="str">
        <f t="shared" si="22"/>
        <v>52</v>
      </c>
      <c r="D304" s="105">
        <v>200</v>
      </c>
      <c r="E304" s="106" t="s">
        <v>10</v>
      </c>
      <c r="F304" s="107" t="str">
        <f t="shared" si="23"/>
        <v>200 General and Administrative</v>
      </c>
      <c r="G304" s="105" t="s">
        <v>750</v>
      </c>
      <c r="H304" s="107" t="s">
        <v>295</v>
      </c>
      <c r="I304" s="112"/>
      <c r="J304" s="113">
        <f>SUMIFS('Budget Worksheet'!$J$5:$J$234,'Budget Worksheet'!$B$5:$B$234,'Master Budget'!G304)</f>
        <v>0</v>
      </c>
      <c r="K304" s="113"/>
      <c r="L304" s="113">
        <f>SUMIFS('Budget Worksheet'!$L$5:$L$234,'Budget Worksheet'!$B$5:$B$234,'Master Budget'!G304)</f>
        <v>0</v>
      </c>
      <c r="M304" s="113">
        <f>_xlfn.XLOOKUP(G304,'Budget Worksheet'!$B$5:$B$234,'Budget Worksheet'!$N$5:$N$234,0)</f>
        <v>0</v>
      </c>
      <c r="N304" s="113">
        <f>_xlfn.XLOOKUP(G304,'Budget Worksheet'!$B$5:$B$234,'Budget Worksheet'!$P$5:$P$234,0)</f>
        <v>0</v>
      </c>
      <c r="O304" s="113">
        <f>_xlfn.XLOOKUP(G304,'Budget Worksheet'!$B$4:$B$234,'Budget Worksheet'!$S$4:$S$234,0)</f>
        <v>0</v>
      </c>
      <c r="P304" s="113">
        <f>_xlfn.XLOOKUP(G304,'Budget Worksheet'!$B$4:$B$234,'Budget Worksheet'!$U$4:$U$234,0)</f>
        <v>0</v>
      </c>
      <c r="Q304" s="107">
        <f>MATCH(G304,'Budget Worksheet'!$B$5:$B$234,0)</f>
        <v>185</v>
      </c>
      <c r="R304" s="112">
        <f t="shared" si="21"/>
        <v>0</v>
      </c>
      <c r="S304" s="108"/>
    </row>
    <row r="305" spans="1:19" x14ac:dyDescent="0.25">
      <c r="A305" s="107">
        <v>292</v>
      </c>
      <c r="B305" s="105" t="s">
        <v>102</v>
      </c>
      <c r="C305" s="105" t="str">
        <f t="shared" si="22"/>
        <v>52</v>
      </c>
      <c r="D305" s="105">
        <v>200</v>
      </c>
      <c r="E305" s="106" t="s">
        <v>10</v>
      </c>
      <c r="F305" s="107" t="str">
        <f t="shared" si="23"/>
        <v>200 General and Administrative</v>
      </c>
      <c r="G305" s="105" t="s">
        <v>751</v>
      </c>
      <c r="H305" s="107" t="s">
        <v>297</v>
      </c>
      <c r="I305" s="112">
        <v>6500</v>
      </c>
      <c r="J305" s="113">
        <f>SUMIFS('Budget Worksheet'!$J$5:$J$234,'Budget Worksheet'!$B$5:$B$234,'Master Budget'!G305)</f>
        <v>6500</v>
      </c>
      <c r="K305" s="113">
        <f>_xlfn.XLOOKUP(G305,'Budget Worksheet'!$B$5:$B$234,'Budget Worksheet'!$G$5:$G$234,0)</f>
        <v>7745.7771428571423</v>
      </c>
      <c r="L305" s="113">
        <f>SUMIFS('Budget Worksheet'!$L$5:$L$234,'Budget Worksheet'!$B$5:$B$234,'Master Budget'!G305)</f>
        <v>6500</v>
      </c>
      <c r="M305" s="113">
        <f>_xlfn.XLOOKUP(G305,'Budget Worksheet'!$B$5:$B$234,'Budget Worksheet'!$N$5:$N$234,0)</f>
        <v>6500</v>
      </c>
      <c r="N305" s="113">
        <f>_xlfn.XLOOKUP(G305,'Budget Worksheet'!$B$5:$B$234,'Budget Worksheet'!$P$5:$P$234,0)</f>
        <v>6500</v>
      </c>
      <c r="O305" s="113">
        <f>_xlfn.XLOOKUP(G305,'Budget Worksheet'!$B$4:$B$234,'Budget Worksheet'!$S$4:$S$234,0)</f>
        <v>6500</v>
      </c>
      <c r="P305" s="113">
        <f>_xlfn.XLOOKUP(G305,'Budget Worksheet'!$B$4:$B$234,'Budget Worksheet'!$U$4:$U$234,0)</f>
        <v>6500</v>
      </c>
      <c r="Q305" s="107">
        <f>MATCH(G305,'Budget Worksheet'!$B$5:$B$234,0)</f>
        <v>186</v>
      </c>
      <c r="R305" s="112">
        <f t="shared" si="21"/>
        <v>40245.777142857143</v>
      </c>
      <c r="S305" s="108"/>
    </row>
    <row r="306" spans="1:19" x14ac:dyDescent="0.25">
      <c r="A306" s="107">
        <v>293</v>
      </c>
      <c r="B306" s="105" t="s">
        <v>102</v>
      </c>
      <c r="C306" s="105" t="str">
        <f t="shared" si="22"/>
        <v>52</v>
      </c>
      <c r="D306" s="105">
        <v>200</v>
      </c>
      <c r="E306" s="106" t="s">
        <v>10</v>
      </c>
      <c r="F306" s="107" t="str">
        <f t="shared" si="23"/>
        <v>200 General and Administrative</v>
      </c>
      <c r="G306" s="105" t="s">
        <v>752</v>
      </c>
      <c r="H306" s="107" t="s">
        <v>303</v>
      </c>
      <c r="I306" s="112">
        <v>13800</v>
      </c>
      <c r="J306" s="113">
        <f>SUMIFS('Budget Worksheet'!$J$5:$J$234,'Budget Worksheet'!$B$5:$B$234,'Master Budget'!G306)</f>
        <v>13800</v>
      </c>
      <c r="K306" s="113">
        <f>_xlfn.XLOOKUP(G306,'Budget Worksheet'!$B$5:$B$234,'Budget Worksheet'!$G$5:$G$234,0)</f>
        <v>31679.38285714286</v>
      </c>
      <c r="L306" s="113">
        <f>SUMIFS('Budget Worksheet'!$L$5:$L$234,'Budget Worksheet'!$B$5:$B$234,'Master Budget'!G306)</f>
        <v>13800</v>
      </c>
      <c r="M306" s="113">
        <f>_xlfn.XLOOKUP(G306,'Budget Worksheet'!$B$5:$B$234,'Budget Worksheet'!$N$5:$N$234,0)</f>
        <v>20000</v>
      </c>
      <c r="N306" s="113">
        <f>_xlfn.XLOOKUP(G306,'Budget Worksheet'!$B$5:$B$234,'Budget Worksheet'!$P$5:$P$234,0)</f>
        <v>20000</v>
      </c>
      <c r="O306" s="113">
        <f>_xlfn.XLOOKUP(G306,'Budget Worksheet'!$B$4:$B$234,'Budget Worksheet'!$S$4:$S$234,0)</f>
        <v>20000</v>
      </c>
      <c r="P306" s="113">
        <f>_xlfn.XLOOKUP(G306,'Budget Worksheet'!$B$4:$B$234,'Budget Worksheet'!$U$4:$U$234,0)</f>
        <v>20000</v>
      </c>
      <c r="Q306" s="107">
        <f>MATCH(G306,'Budget Worksheet'!$B$5:$B$234,0)</f>
        <v>187</v>
      </c>
      <c r="R306" s="112">
        <f t="shared" si="21"/>
        <v>113079.38285714286</v>
      </c>
      <c r="S306" s="108"/>
    </row>
    <row r="307" spans="1:19" x14ac:dyDescent="0.25">
      <c r="A307" s="107">
        <v>294</v>
      </c>
      <c r="B307" s="105" t="s">
        <v>102</v>
      </c>
      <c r="C307" s="105" t="str">
        <f t="shared" si="22"/>
        <v>52</v>
      </c>
      <c r="D307" s="105">
        <v>500</v>
      </c>
      <c r="E307" s="106" t="s">
        <v>11</v>
      </c>
      <c r="F307" s="107" t="str">
        <f t="shared" si="23"/>
        <v>500 Repairs and Maintenance</v>
      </c>
      <c r="G307" s="105" t="s">
        <v>753</v>
      </c>
      <c r="H307" s="107" t="s">
        <v>754</v>
      </c>
      <c r="I307" s="112">
        <v>800</v>
      </c>
      <c r="J307" s="113">
        <f>SUMIFS('Budget Worksheet'!$J$5:$J$234,'Budget Worksheet'!$B$5:$B$234,'Master Budget'!G307)</f>
        <v>1850</v>
      </c>
      <c r="K307" s="113">
        <f>_xlfn.XLOOKUP(G307,'Budget Worksheet'!$B$5:$B$234,'Budget Worksheet'!$G$5:$G$234,0)</f>
        <v>1736.2971428571432</v>
      </c>
      <c r="L307" s="113">
        <f>SUMIFS('Budget Worksheet'!$L$5:$L$234,'Budget Worksheet'!$B$5:$B$234,'Master Budget'!G307)</f>
        <v>1000</v>
      </c>
      <c r="M307" s="113">
        <f>_xlfn.XLOOKUP(G307,'Budget Worksheet'!$B$5:$B$234,'Budget Worksheet'!$N$5:$N$234,0)</f>
        <v>1850</v>
      </c>
      <c r="N307" s="113">
        <f>_xlfn.XLOOKUP(G307,'Budget Worksheet'!$B$5:$B$234,'Budget Worksheet'!$P$5:$P$234,0)</f>
        <v>1850</v>
      </c>
      <c r="O307" s="113">
        <f>_xlfn.XLOOKUP(G307,'Budget Worksheet'!$B$4:$B$234,'Budget Worksheet'!$S$4:$S$234,0)</f>
        <v>1850</v>
      </c>
      <c r="P307" s="113">
        <f>_xlfn.XLOOKUP(G307,'Budget Worksheet'!$B$4:$B$234,'Budget Worksheet'!$U$4:$U$234,0)</f>
        <v>1850</v>
      </c>
      <c r="Q307" s="107">
        <f>MATCH(G307,'Budget Worksheet'!$B$5:$B$234,0)</f>
        <v>188</v>
      </c>
      <c r="R307" s="112">
        <f t="shared" si="21"/>
        <v>9086.2971428571436</v>
      </c>
      <c r="S307" s="108"/>
    </row>
    <row r="308" spans="1:19" x14ac:dyDescent="0.25">
      <c r="A308" s="107">
        <v>295</v>
      </c>
      <c r="B308" s="105" t="s">
        <v>102</v>
      </c>
      <c r="C308" s="105" t="str">
        <f t="shared" si="22"/>
        <v>52</v>
      </c>
      <c r="D308" s="105">
        <v>500</v>
      </c>
      <c r="E308" s="106" t="s">
        <v>11</v>
      </c>
      <c r="F308" s="107" t="str">
        <f t="shared" si="23"/>
        <v>500 Repairs and Maintenance</v>
      </c>
      <c r="G308" s="105" t="s">
        <v>755</v>
      </c>
      <c r="H308" s="107" t="s">
        <v>311</v>
      </c>
      <c r="I308" s="112">
        <v>3000</v>
      </c>
      <c r="J308" s="113">
        <f>SUMIFS('Budget Worksheet'!$J$5:$J$234,'Budget Worksheet'!$B$5:$B$234,'Master Budget'!G308)</f>
        <v>3000</v>
      </c>
      <c r="K308" s="113">
        <f>_xlfn.XLOOKUP(G308,'Budget Worksheet'!$B$5:$B$234,'Budget Worksheet'!$G$5:$G$234,0)</f>
        <v>3900.7542857142853</v>
      </c>
      <c r="L308" s="113">
        <f>SUMIFS('Budget Worksheet'!$L$5:$L$234,'Budget Worksheet'!$B$5:$B$234,'Master Budget'!G308)</f>
        <v>3000</v>
      </c>
      <c r="M308" s="113">
        <f>_xlfn.XLOOKUP(G308,'Budget Worksheet'!$B$5:$B$234,'Budget Worksheet'!$N$5:$N$234,0)</f>
        <v>3000</v>
      </c>
      <c r="N308" s="113">
        <f>_xlfn.XLOOKUP(G308,'Budget Worksheet'!$B$5:$B$234,'Budget Worksheet'!$P$5:$P$234,0)</f>
        <v>3000</v>
      </c>
      <c r="O308" s="113">
        <f>_xlfn.XLOOKUP(G308,'Budget Worksheet'!$B$4:$B$234,'Budget Worksheet'!$S$4:$S$234,0)</f>
        <v>3500</v>
      </c>
      <c r="P308" s="113">
        <f>_xlfn.XLOOKUP(G308,'Budget Worksheet'!$B$4:$B$234,'Budget Worksheet'!$U$4:$U$234,0)</f>
        <v>3500</v>
      </c>
      <c r="Q308" s="107">
        <f>MATCH(G308,'Budget Worksheet'!$B$5:$B$234,0)</f>
        <v>189</v>
      </c>
      <c r="R308" s="112">
        <f t="shared" si="21"/>
        <v>18900.754285714283</v>
      </c>
      <c r="S308" s="108"/>
    </row>
    <row r="309" spans="1:19" x14ac:dyDescent="0.25">
      <c r="A309" s="107">
        <v>296</v>
      </c>
      <c r="B309" s="105" t="s">
        <v>102</v>
      </c>
      <c r="C309" s="105" t="str">
        <f t="shared" si="22"/>
        <v>52</v>
      </c>
      <c r="D309" s="105">
        <v>500</v>
      </c>
      <c r="E309" s="106" t="s">
        <v>11</v>
      </c>
      <c r="F309" s="107" t="str">
        <f t="shared" si="23"/>
        <v>500 Repairs and Maintenance</v>
      </c>
      <c r="G309" s="105" t="s">
        <v>756</v>
      </c>
      <c r="H309" s="107" t="s">
        <v>313</v>
      </c>
      <c r="I309" s="112">
        <v>4000</v>
      </c>
      <c r="J309" s="113">
        <f>SUMIFS('Budget Worksheet'!$J$5:$J$234,'Budget Worksheet'!$B$5:$B$234,'Master Budget'!G309)</f>
        <v>8000</v>
      </c>
      <c r="K309" s="113">
        <f>_xlfn.XLOOKUP(G309,'Budget Worksheet'!$B$5:$B$234,'Budget Worksheet'!$G$5:$G$234,0)</f>
        <v>16008.599999999999</v>
      </c>
      <c r="L309" s="113">
        <f>SUMIFS('Budget Worksheet'!$L$5:$L$234,'Budget Worksheet'!$B$5:$B$234,'Master Budget'!G309)</f>
        <v>4000</v>
      </c>
      <c r="M309" s="113">
        <f>_xlfn.XLOOKUP(G309,'Budget Worksheet'!$B$5:$B$234,'Budget Worksheet'!$N$5:$N$234,0)</f>
        <v>4000</v>
      </c>
      <c r="N309" s="113">
        <f>_xlfn.XLOOKUP(G309,'Budget Worksheet'!$B$5:$B$234,'Budget Worksheet'!$P$5:$P$234,0)</f>
        <v>4000</v>
      </c>
      <c r="O309" s="113">
        <f>_xlfn.XLOOKUP(G309,'Budget Worksheet'!$B$4:$B$234,'Budget Worksheet'!$S$4:$S$234,0)</f>
        <v>15000</v>
      </c>
      <c r="P309" s="113">
        <f>_xlfn.XLOOKUP(G309,'Budget Worksheet'!$B$4:$B$234,'Budget Worksheet'!$U$4:$U$234,0)</f>
        <v>5000</v>
      </c>
      <c r="Q309" s="107">
        <f>MATCH(G309,'Budget Worksheet'!$B$5:$B$234,0)</f>
        <v>190</v>
      </c>
      <c r="R309" s="112">
        <f t="shared" si="21"/>
        <v>40008.6</v>
      </c>
      <c r="S309" s="108"/>
    </row>
    <row r="310" spans="1:19" x14ac:dyDescent="0.25">
      <c r="A310" s="107">
        <v>297</v>
      </c>
      <c r="B310" s="105" t="s">
        <v>102</v>
      </c>
      <c r="C310" s="105" t="str">
        <f t="shared" si="22"/>
        <v>52</v>
      </c>
      <c r="D310" s="105">
        <v>500</v>
      </c>
      <c r="E310" s="106" t="s">
        <v>11</v>
      </c>
      <c r="F310" s="107" t="str">
        <f t="shared" si="23"/>
        <v>500 Repairs and Maintenance</v>
      </c>
      <c r="G310" s="177" t="s">
        <v>1089</v>
      </c>
      <c r="H310" s="178" t="s">
        <v>144</v>
      </c>
      <c r="I310" s="112">
        <v>0</v>
      </c>
      <c r="J310" s="113">
        <f>SUMIFS('Budget Worksheet'!$J$5:$J$234,'Budget Worksheet'!$B$5:$B$234,'Master Budget'!G310)</f>
        <v>0</v>
      </c>
      <c r="K310" s="113"/>
      <c r="L310" s="113">
        <f>SUMIFS('Budget Worksheet'!$L$5:$L$234,'Budget Worksheet'!$B$5:$B$234,'Master Budget'!G310)</f>
        <v>0</v>
      </c>
      <c r="M310" s="113">
        <f>_xlfn.XLOOKUP(G310,'Budget Worksheet'!$B$5:$B$234,'Budget Worksheet'!$N$5:$N$234,0)</f>
        <v>0</v>
      </c>
      <c r="N310" s="113">
        <f>_xlfn.XLOOKUP(G310,'Budget Worksheet'!$B$5:$B$234,'Budget Worksheet'!$P$5:$P$234,0)</f>
        <v>0</v>
      </c>
      <c r="O310" s="113">
        <f>_xlfn.XLOOKUP(G310,'Budget Worksheet'!$B$4:$B$234,'Budget Worksheet'!$S$4:$S$234,0)</f>
        <v>0</v>
      </c>
      <c r="P310" s="113">
        <f>_xlfn.XLOOKUP(G310,'Budget Worksheet'!$B$4:$B$234,'Budget Worksheet'!$U$4:$U$234,0)</f>
        <v>0</v>
      </c>
      <c r="Q310" s="107" t="e">
        <f>MATCH(G310,'Budget Worksheet'!$B$5:$B$234,0)</f>
        <v>#N/A</v>
      </c>
      <c r="R310" s="112">
        <f t="shared" si="21"/>
        <v>0</v>
      </c>
      <c r="S310" s="108"/>
    </row>
    <row r="311" spans="1:19" x14ac:dyDescent="0.25">
      <c r="A311" s="107">
        <v>298</v>
      </c>
      <c r="B311" s="105" t="s">
        <v>102</v>
      </c>
      <c r="C311" s="105" t="str">
        <f t="shared" si="22"/>
        <v>52</v>
      </c>
      <c r="D311" s="105">
        <v>200</v>
      </c>
      <c r="E311" s="106" t="s">
        <v>10</v>
      </c>
      <c r="F311" s="107" t="str">
        <f t="shared" si="23"/>
        <v>200 General and Administrative</v>
      </c>
      <c r="G311" s="105" t="s">
        <v>757</v>
      </c>
      <c r="H311" s="107" t="s">
        <v>498</v>
      </c>
      <c r="I311" s="112">
        <v>0</v>
      </c>
      <c r="J311" s="113">
        <f>SUMIFS('Budget Worksheet'!$J$5:$J$234,'Budget Worksheet'!$B$5:$B$234,'Master Budget'!G311)</f>
        <v>0</v>
      </c>
      <c r="K311" s="113">
        <f>_xlfn.XLOOKUP(G311,'Budget Worksheet'!$B$5:$B$234,'Budget Worksheet'!$G$5:$G$234,0)</f>
        <v>0</v>
      </c>
      <c r="L311" s="113">
        <f>SUMIFS('Budget Worksheet'!$L$5:$L$234,'Budget Worksheet'!$B$5:$B$234,'Master Budget'!G311)</f>
        <v>20000</v>
      </c>
      <c r="M311" s="113">
        <f>_xlfn.XLOOKUP(G311,'Budget Worksheet'!$B$5:$B$234,'Budget Worksheet'!$N$5:$N$234,0)</f>
        <v>20000</v>
      </c>
      <c r="N311" s="113">
        <f>_xlfn.XLOOKUP(G311,'Budget Worksheet'!$B$5:$B$234,'Budget Worksheet'!$P$5:$P$234,0)</f>
        <v>20000</v>
      </c>
      <c r="O311" s="113">
        <f>_xlfn.XLOOKUP(G311,'Budget Worksheet'!$B$4:$B$234,'Budget Worksheet'!$S$4:$S$234,0)</f>
        <v>0</v>
      </c>
      <c r="P311" s="113">
        <f>_xlfn.XLOOKUP(G311,'Budget Worksheet'!$B$4:$B$234,'Budget Worksheet'!$U$4:$U$234,0)</f>
        <v>0</v>
      </c>
      <c r="Q311" s="107">
        <f>MATCH(G311,'Budget Worksheet'!$B$5:$B$234,0)</f>
        <v>191</v>
      </c>
      <c r="R311" s="112">
        <f t="shared" si="21"/>
        <v>60000</v>
      </c>
      <c r="S311" s="108"/>
    </row>
    <row r="312" spans="1:19" x14ac:dyDescent="0.25">
      <c r="A312" s="107">
        <v>299</v>
      </c>
      <c r="B312" s="105" t="s">
        <v>102</v>
      </c>
      <c r="C312" s="105" t="str">
        <f t="shared" si="22"/>
        <v>52</v>
      </c>
      <c r="D312" s="105">
        <v>200</v>
      </c>
      <c r="E312" s="106" t="s">
        <v>10</v>
      </c>
      <c r="F312" s="107" t="str">
        <f t="shared" si="23"/>
        <v>200 General and Administrative</v>
      </c>
      <c r="G312" s="105" t="s">
        <v>758</v>
      </c>
      <c r="H312" s="107" t="s">
        <v>322</v>
      </c>
      <c r="I312" s="112">
        <v>8000</v>
      </c>
      <c r="J312" s="113">
        <f>SUMIFS('Budget Worksheet'!$J$5:$J$234,'Budget Worksheet'!$B$5:$B$234,'Master Budget'!G312)</f>
        <v>8000</v>
      </c>
      <c r="K312" s="113">
        <f>_xlfn.XLOOKUP(G312,'Budget Worksheet'!$B$5:$B$234,'Budget Worksheet'!$G$5:$G$234,0)</f>
        <v>0</v>
      </c>
      <c r="L312" s="113">
        <f>SUMIFS('Budget Worksheet'!$L$5:$L$234,'Budget Worksheet'!$B$5:$B$234,'Master Budget'!G312)</f>
        <v>8000</v>
      </c>
      <c r="M312" s="113">
        <f>_xlfn.XLOOKUP(G312,'Budget Worksheet'!$B$5:$B$234,'Budget Worksheet'!$N$5:$N$234,0)</f>
        <v>8000</v>
      </c>
      <c r="N312" s="113">
        <f>_xlfn.XLOOKUP(G312,'Budget Worksheet'!$B$5:$B$234,'Budget Worksheet'!$P$5:$P$234,0)</f>
        <v>8000</v>
      </c>
      <c r="O312" s="113">
        <f>_xlfn.XLOOKUP(G312,'Budget Worksheet'!$B$4:$B$234,'Budget Worksheet'!$S$4:$S$234,0)</f>
        <v>0</v>
      </c>
      <c r="P312" s="113">
        <f>_xlfn.XLOOKUP(G312,'Budget Worksheet'!$B$4:$B$234,'Budget Worksheet'!$U$4:$U$234,0)</f>
        <v>0</v>
      </c>
      <c r="Q312" s="107">
        <f>MATCH(G312,'Budget Worksheet'!$B$5:$B$234,0)</f>
        <v>192</v>
      </c>
      <c r="R312" s="112">
        <f t="shared" si="21"/>
        <v>40000</v>
      </c>
      <c r="S312" s="108"/>
    </row>
    <row r="313" spans="1:19" x14ac:dyDescent="0.25">
      <c r="A313" s="107">
        <v>300</v>
      </c>
      <c r="B313" s="105" t="s">
        <v>102</v>
      </c>
      <c r="C313" s="105" t="str">
        <f t="shared" si="22"/>
        <v>52</v>
      </c>
      <c r="D313" s="105">
        <v>200</v>
      </c>
      <c r="E313" s="106" t="s">
        <v>10</v>
      </c>
      <c r="F313" s="107" t="str">
        <f t="shared" si="23"/>
        <v>200 General and Administrative</v>
      </c>
      <c r="G313" s="105" t="s">
        <v>759</v>
      </c>
      <c r="H313" s="107" t="s">
        <v>1080</v>
      </c>
      <c r="I313" s="112">
        <v>3900</v>
      </c>
      <c r="J313" s="113">
        <f>SUMIFS('Budget Worksheet'!$J$5:$J$234,'Budget Worksheet'!$B$5:$B$234,'Master Budget'!G313)</f>
        <v>3900</v>
      </c>
      <c r="K313" s="113">
        <f>_xlfn.XLOOKUP(G313,'Budget Worksheet'!$B$5:$B$234,'Budget Worksheet'!$G$5:$G$234,0)</f>
        <v>4966.7485714285713</v>
      </c>
      <c r="L313" s="113">
        <f>SUMIFS('Budget Worksheet'!$L$5:$L$234,'Budget Worksheet'!$B$5:$B$234,'Master Budget'!G313)</f>
        <v>3900</v>
      </c>
      <c r="M313" s="113">
        <f>_xlfn.XLOOKUP(G313,'Budget Worksheet'!$B$5:$B$234,'Budget Worksheet'!$N$5:$N$234,0)</f>
        <v>3900</v>
      </c>
      <c r="N313" s="113">
        <f>_xlfn.XLOOKUP(G313,'Budget Worksheet'!$B$5:$B$234,'Budget Worksheet'!$P$5:$P$234,0)</f>
        <v>3900</v>
      </c>
      <c r="O313" s="113">
        <f>_xlfn.XLOOKUP(G313,'Budget Worksheet'!$B$4:$B$234,'Budget Worksheet'!$S$4:$S$234,0)</f>
        <v>3900</v>
      </c>
      <c r="P313" s="113">
        <f>_xlfn.XLOOKUP(G313,'Budget Worksheet'!$B$4:$B$234,'Budget Worksheet'!$U$4:$U$234,0)</f>
        <v>3900</v>
      </c>
      <c r="Q313" s="107">
        <f>MATCH(G313,'Budget Worksheet'!$B$5:$B$234,0)</f>
        <v>193</v>
      </c>
      <c r="R313" s="112">
        <f t="shared" si="21"/>
        <v>24466.748571428572</v>
      </c>
      <c r="S313" s="108"/>
    </row>
    <row r="314" spans="1:19" x14ac:dyDescent="0.25">
      <c r="A314" s="107">
        <v>301</v>
      </c>
      <c r="B314" s="105" t="s">
        <v>102</v>
      </c>
      <c r="C314" s="105" t="str">
        <f t="shared" si="22"/>
        <v>52</v>
      </c>
      <c r="D314" s="105">
        <v>200</v>
      </c>
      <c r="E314" s="106" t="s">
        <v>10</v>
      </c>
      <c r="F314" s="107" t="str">
        <f t="shared" ref="F314:F342" si="24">D314&amp;" "&amp;E314</f>
        <v>200 General and Administrative</v>
      </c>
      <c r="G314" s="105" t="s">
        <v>760</v>
      </c>
      <c r="H314" s="107" t="s">
        <v>1069</v>
      </c>
      <c r="I314" s="112">
        <v>1200</v>
      </c>
      <c r="J314" s="113">
        <f>SUMIFS('Budget Worksheet'!$J$5:$J$234,'Budget Worksheet'!$B$5:$B$234,'Master Budget'!G314)</f>
        <v>1200</v>
      </c>
      <c r="K314" s="113">
        <f>_xlfn.XLOOKUP(G314,'Budget Worksheet'!$B$5:$B$234,'Budget Worksheet'!$G$5:$G$234,0)</f>
        <v>1650.5828571428569</v>
      </c>
      <c r="L314" s="113">
        <f>SUMIFS('Budget Worksheet'!$L$5:$L$234,'Budget Worksheet'!$B$5:$B$234,'Master Budget'!G314)</f>
        <v>1200</v>
      </c>
      <c r="M314" s="113">
        <f>_xlfn.XLOOKUP(G314,'Budget Worksheet'!$B$5:$B$234,'Budget Worksheet'!$N$5:$N$234,0)</f>
        <v>1600</v>
      </c>
      <c r="N314" s="113">
        <f>_xlfn.XLOOKUP(G314,'Budget Worksheet'!$B$5:$B$234,'Budget Worksheet'!$P$5:$P$234,0)</f>
        <v>1600</v>
      </c>
      <c r="O314" s="113">
        <f>_xlfn.XLOOKUP(G314,'Budget Worksheet'!$B$4:$B$234,'Budget Worksheet'!$S$4:$S$234,0)</f>
        <v>1600</v>
      </c>
      <c r="P314" s="113">
        <f>_xlfn.XLOOKUP(G314,'Budget Worksheet'!$B$4:$B$234,'Budget Worksheet'!$U$4:$U$234,0)</f>
        <v>1600</v>
      </c>
      <c r="Q314" s="107">
        <f>MATCH(G314,'Budget Worksheet'!$B$5:$B$234,0)</f>
        <v>194</v>
      </c>
      <c r="R314" s="112">
        <f t="shared" si="21"/>
        <v>8450.5828571428574</v>
      </c>
      <c r="S314" s="108"/>
    </row>
    <row r="315" spans="1:19" x14ac:dyDescent="0.25">
      <c r="A315" s="107">
        <v>302</v>
      </c>
      <c r="B315" s="105" t="s">
        <v>102</v>
      </c>
      <c r="C315" s="105" t="str">
        <f t="shared" si="22"/>
        <v>52</v>
      </c>
      <c r="D315" s="105">
        <v>200</v>
      </c>
      <c r="E315" s="106" t="s">
        <v>10</v>
      </c>
      <c r="F315" s="107" t="str">
        <f t="shared" si="24"/>
        <v>200 General and Administrative</v>
      </c>
      <c r="G315" s="177" t="s">
        <v>1090</v>
      </c>
      <c r="H315" s="178" t="s">
        <v>1063</v>
      </c>
      <c r="I315" s="112">
        <v>0</v>
      </c>
      <c r="J315" s="113">
        <f>SUMIFS('Budget Worksheet'!$J$5:$J$234,'Budget Worksheet'!$B$5:$B$234,'Master Budget'!G315)</f>
        <v>0</v>
      </c>
      <c r="K315" s="113"/>
      <c r="L315" s="113">
        <f>SUMIFS('Budget Worksheet'!$L$5:$L$234,'Budget Worksheet'!$B$5:$B$234,'Master Budget'!G315)</f>
        <v>0</v>
      </c>
      <c r="M315" s="113">
        <f>_xlfn.XLOOKUP(G315,'Budget Worksheet'!$B$5:$B$234,'Budget Worksheet'!$N$5:$N$234,0)</f>
        <v>0</v>
      </c>
      <c r="N315" s="113">
        <f>_xlfn.XLOOKUP(G315,'Budget Worksheet'!$B$5:$B$234,'Budget Worksheet'!$P$5:$P$234,0)</f>
        <v>0</v>
      </c>
      <c r="O315" s="113">
        <f>_xlfn.XLOOKUP(G315,'Budget Worksheet'!$B$4:$B$234,'Budget Worksheet'!$S$4:$S$234,0)</f>
        <v>0</v>
      </c>
      <c r="P315" s="113">
        <f>_xlfn.XLOOKUP(G315,'Budget Worksheet'!$B$4:$B$234,'Budget Worksheet'!$U$4:$U$234,0)</f>
        <v>0</v>
      </c>
      <c r="Q315" s="107" t="e">
        <f>MATCH(G315,'Budget Worksheet'!$B$5:$B$234,0)</f>
        <v>#N/A</v>
      </c>
      <c r="R315" s="112">
        <f t="shared" si="21"/>
        <v>0</v>
      </c>
      <c r="S315" s="108"/>
    </row>
    <row r="316" spans="1:19" x14ac:dyDescent="0.25">
      <c r="A316" s="107">
        <v>303</v>
      </c>
      <c r="B316" s="105" t="s">
        <v>102</v>
      </c>
      <c r="C316" s="105" t="str">
        <f t="shared" si="22"/>
        <v>52</v>
      </c>
      <c r="D316" s="105">
        <v>200</v>
      </c>
      <c r="E316" s="106" t="s">
        <v>10</v>
      </c>
      <c r="F316" s="107" t="str">
        <f t="shared" si="24"/>
        <v>200 General and Administrative</v>
      </c>
      <c r="G316" s="105" t="s">
        <v>761</v>
      </c>
      <c r="H316" s="107" t="s">
        <v>1082</v>
      </c>
      <c r="I316" s="112">
        <v>1000</v>
      </c>
      <c r="J316" s="113">
        <f>SUMIFS('Budget Worksheet'!$J$5:$J$234,'Budget Worksheet'!$B$5:$B$234,'Master Budget'!G316)</f>
        <v>1200</v>
      </c>
      <c r="K316" s="113">
        <f>_xlfn.XLOOKUP(G316,'Budget Worksheet'!$B$5:$B$234,'Budget Worksheet'!$G$5:$G$234,0)</f>
        <v>640.73142857142852</v>
      </c>
      <c r="L316" s="113">
        <f>SUMIFS('Budget Worksheet'!$L$5:$L$234,'Budget Worksheet'!$B$5:$B$234,'Master Budget'!G316)</f>
        <v>1200</v>
      </c>
      <c r="M316" s="113">
        <f>_xlfn.XLOOKUP(G316,'Budget Worksheet'!$B$5:$B$234,'Budget Worksheet'!$N$5:$N$234,0)</f>
        <v>1500</v>
      </c>
      <c r="N316" s="113">
        <f>_xlfn.XLOOKUP(G316,'Budget Worksheet'!$B$5:$B$234,'Budget Worksheet'!$P$5:$P$234,0)</f>
        <v>1500</v>
      </c>
      <c r="O316" s="113">
        <f>_xlfn.XLOOKUP(G316,'Budget Worksheet'!$B$4:$B$234,'Budget Worksheet'!$S$4:$S$234,0)</f>
        <v>1500</v>
      </c>
      <c r="P316" s="113">
        <f>_xlfn.XLOOKUP(G316,'Budget Worksheet'!$B$4:$B$234,'Budget Worksheet'!$U$4:$U$234,0)</f>
        <v>1500</v>
      </c>
      <c r="Q316" s="107">
        <f>MATCH(G316,'Budget Worksheet'!$B$5:$B$234,0)</f>
        <v>195</v>
      </c>
      <c r="R316" s="112">
        <f t="shared" si="21"/>
        <v>7040.7314285714283</v>
      </c>
      <c r="S316" s="108"/>
    </row>
    <row r="317" spans="1:19" x14ac:dyDescent="0.25">
      <c r="A317" s="107">
        <v>304</v>
      </c>
      <c r="B317" s="105" t="s">
        <v>102</v>
      </c>
      <c r="C317" s="105" t="str">
        <f t="shared" si="22"/>
        <v>52</v>
      </c>
      <c r="D317" s="105">
        <v>200</v>
      </c>
      <c r="E317" s="106" t="s">
        <v>10</v>
      </c>
      <c r="F317" s="107" t="str">
        <f t="shared" si="24"/>
        <v>200 General and Administrative</v>
      </c>
      <c r="G317" s="105" t="s">
        <v>762</v>
      </c>
      <c r="H317" s="107" t="s">
        <v>162</v>
      </c>
      <c r="I317" s="112">
        <v>2000</v>
      </c>
      <c r="J317" s="113">
        <f>SUMIFS('Budget Worksheet'!$J$5:$J$234,'Budget Worksheet'!$B$5:$B$234,'Master Budget'!G317)</f>
        <v>0</v>
      </c>
      <c r="K317" s="113">
        <f>_xlfn.XLOOKUP(G317,'Budget Worksheet'!$B$5:$B$234,'Budget Worksheet'!$G$5:$G$234,0)</f>
        <v>1057.2857142857142</v>
      </c>
      <c r="L317" s="113">
        <f>SUMIFS('Budget Worksheet'!$L$5:$L$234,'Budget Worksheet'!$B$5:$B$234,'Master Budget'!G317)</f>
        <v>0</v>
      </c>
      <c r="M317" s="113">
        <f>_xlfn.XLOOKUP(G317,'Budget Worksheet'!$B$5:$B$234,'Budget Worksheet'!$N$5:$N$234,0)</f>
        <v>1000</v>
      </c>
      <c r="N317" s="113">
        <f>_xlfn.XLOOKUP(G317,'Budget Worksheet'!$B$5:$B$234,'Budget Worksheet'!$P$5:$P$234,0)</f>
        <v>1000</v>
      </c>
      <c r="O317" s="113">
        <f>_xlfn.XLOOKUP(G317,'Budget Worksheet'!$B$4:$B$234,'Budget Worksheet'!$S$4:$S$234,0)</f>
        <v>1000</v>
      </c>
      <c r="P317" s="113">
        <f>_xlfn.XLOOKUP(G317,'Budget Worksheet'!$B$4:$B$234,'Budget Worksheet'!$U$4:$U$234,0)</f>
        <v>1000</v>
      </c>
      <c r="Q317" s="107">
        <f>MATCH(G317,'Budget Worksheet'!$B$5:$B$234,0)</f>
        <v>196</v>
      </c>
      <c r="R317" s="112">
        <f t="shared" si="21"/>
        <v>5057.2857142857138</v>
      </c>
      <c r="S317" s="108"/>
    </row>
    <row r="318" spans="1:19" x14ac:dyDescent="0.25">
      <c r="A318" s="107">
        <v>305</v>
      </c>
      <c r="B318" s="105" t="s">
        <v>102</v>
      </c>
      <c r="C318" s="105" t="str">
        <f t="shared" si="22"/>
        <v>52</v>
      </c>
      <c r="D318" s="105">
        <v>200</v>
      </c>
      <c r="E318" s="106" t="s">
        <v>10</v>
      </c>
      <c r="F318" s="107" t="str">
        <f t="shared" si="24"/>
        <v>200 General and Administrative</v>
      </c>
      <c r="G318" s="105" t="s">
        <v>763</v>
      </c>
      <c r="H318" s="107" t="s">
        <v>1091</v>
      </c>
      <c r="I318" s="112">
        <v>1300</v>
      </c>
      <c r="J318" s="113">
        <f>SUMIFS('Budget Worksheet'!$J$5:$J$234,'Budget Worksheet'!$B$5:$B$234,'Master Budget'!G318)</f>
        <v>1300</v>
      </c>
      <c r="K318" s="113">
        <f>_xlfn.XLOOKUP(G318,'Budget Worksheet'!$B$5:$B$234,'Budget Worksheet'!$G$5:$G$234,0)</f>
        <v>1003.1485714285714</v>
      </c>
      <c r="L318" s="113">
        <f>SUMIFS('Budget Worksheet'!$L$5:$L$234,'Budget Worksheet'!$B$5:$B$234,'Master Budget'!G318)</f>
        <v>1300</v>
      </c>
      <c r="M318" s="113">
        <f>_xlfn.XLOOKUP(G318,'Budget Worksheet'!$B$5:$B$234,'Budget Worksheet'!$N$5:$N$234,0)</f>
        <v>1500</v>
      </c>
      <c r="N318" s="113">
        <f>_xlfn.XLOOKUP(G318,'Budget Worksheet'!$B$5:$B$234,'Budget Worksheet'!$P$5:$P$234,0)</f>
        <v>1500</v>
      </c>
      <c r="O318" s="113">
        <f>_xlfn.XLOOKUP(G318,'Budget Worksheet'!$B$4:$B$234,'Budget Worksheet'!$S$4:$S$234,0)</f>
        <v>2000</v>
      </c>
      <c r="P318" s="113">
        <f>_xlfn.XLOOKUP(G318,'Budget Worksheet'!$B$4:$B$234,'Budget Worksheet'!$U$4:$U$234,0)</f>
        <v>2000</v>
      </c>
      <c r="Q318" s="107">
        <f>MATCH(G318,'Budget Worksheet'!$B$5:$B$234,0)</f>
        <v>197</v>
      </c>
      <c r="R318" s="112">
        <f t="shared" si="21"/>
        <v>7903.1485714285718</v>
      </c>
      <c r="S318" s="108"/>
    </row>
    <row r="319" spans="1:19" x14ac:dyDescent="0.25">
      <c r="A319" s="107">
        <v>306</v>
      </c>
      <c r="B319" s="105" t="s">
        <v>102</v>
      </c>
      <c r="C319" s="105" t="str">
        <f t="shared" si="22"/>
        <v>52</v>
      </c>
      <c r="D319" s="105">
        <v>200</v>
      </c>
      <c r="E319" s="106" t="s">
        <v>10</v>
      </c>
      <c r="F319" s="107" t="str">
        <f t="shared" si="24"/>
        <v>200 General and Administrative</v>
      </c>
      <c r="G319" s="105" t="s">
        <v>764</v>
      </c>
      <c r="H319" s="107" t="s">
        <v>130</v>
      </c>
      <c r="I319" s="112">
        <v>15000</v>
      </c>
      <c r="J319" s="113">
        <f>SUMIFS('Budget Worksheet'!$J$5:$J$234,'Budget Worksheet'!$B$5:$B$234,'Master Budget'!G319)</f>
        <v>15000</v>
      </c>
      <c r="K319" s="113">
        <f>_xlfn.XLOOKUP(G319,'Budget Worksheet'!$B$5:$B$234,'Budget Worksheet'!$G$5:$G$234,0)</f>
        <v>1625.3485714285712</v>
      </c>
      <c r="L319" s="113">
        <f>SUMIFS('Budget Worksheet'!$L$5:$L$234,'Budget Worksheet'!$B$5:$B$234,'Master Budget'!G319)</f>
        <v>15000</v>
      </c>
      <c r="M319" s="113">
        <f>_xlfn.XLOOKUP(G319,'Budget Worksheet'!$B$5:$B$234,'Budget Worksheet'!$N$5:$N$234,0)</f>
        <v>15000</v>
      </c>
      <c r="N319" s="113">
        <f>_xlfn.XLOOKUP(G319,'Budget Worksheet'!$B$5:$B$234,'Budget Worksheet'!$P$5:$P$234,0)</f>
        <v>15000</v>
      </c>
      <c r="O319" s="113">
        <f>_xlfn.XLOOKUP(G319,'Budget Worksheet'!$B$4:$B$234,'Budget Worksheet'!$S$4:$S$234,0)</f>
        <v>15000</v>
      </c>
      <c r="P319" s="113">
        <f>_xlfn.XLOOKUP(G319,'Budget Worksheet'!$B$4:$B$234,'Budget Worksheet'!$U$4:$U$234,0)</f>
        <v>15000</v>
      </c>
      <c r="Q319" s="107">
        <f>MATCH(G319,'Budget Worksheet'!$B$5:$B$234,0)</f>
        <v>198</v>
      </c>
      <c r="R319" s="112">
        <f t="shared" si="21"/>
        <v>76625.348571428563</v>
      </c>
      <c r="S319" s="108"/>
    </row>
    <row r="320" spans="1:19" x14ac:dyDescent="0.25">
      <c r="A320" s="107">
        <v>307</v>
      </c>
      <c r="B320" s="105" t="s">
        <v>102</v>
      </c>
      <c r="C320" s="105" t="str">
        <f t="shared" si="22"/>
        <v>52</v>
      </c>
      <c r="D320" s="105">
        <v>200</v>
      </c>
      <c r="E320" s="106" t="s">
        <v>10</v>
      </c>
      <c r="F320" s="107" t="str">
        <f t="shared" si="24"/>
        <v>200 General and Administrative</v>
      </c>
      <c r="G320" s="105" t="s">
        <v>765</v>
      </c>
      <c r="H320" s="107" t="s">
        <v>766</v>
      </c>
      <c r="I320" s="112">
        <v>25000</v>
      </c>
      <c r="J320" s="113">
        <f>SUMIFS('Budget Worksheet'!$J$5:$J$234,'Budget Worksheet'!$B$5:$B$234,'Master Budget'!G320)</f>
        <v>25000</v>
      </c>
      <c r="K320" s="113">
        <f>_xlfn.XLOOKUP(G320,'Budget Worksheet'!$B$5:$B$234,'Budget Worksheet'!$G$5:$G$234,0)</f>
        <v>32892.394285714283</v>
      </c>
      <c r="L320" s="113">
        <f>SUMIFS('Budget Worksheet'!$L$5:$L$234,'Budget Worksheet'!$B$5:$B$234,'Master Budget'!G320)</f>
        <v>25000</v>
      </c>
      <c r="M320" s="113">
        <f>_xlfn.XLOOKUP(G320,'Budget Worksheet'!$B$5:$B$234,'Budget Worksheet'!$N$5:$N$234,0)</f>
        <v>25000</v>
      </c>
      <c r="N320" s="113">
        <f>_xlfn.XLOOKUP(G320,'Budget Worksheet'!$B$5:$B$234,'Budget Worksheet'!$P$5:$P$234,0)</f>
        <v>25000</v>
      </c>
      <c r="O320" s="113">
        <f>_xlfn.XLOOKUP(G320,'Budget Worksheet'!$B$4:$B$234,'Budget Worksheet'!$S$4:$S$234,0)</f>
        <v>25000</v>
      </c>
      <c r="P320" s="113">
        <f>_xlfn.XLOOKUP(G320,'Budget Worksheet'!$B$4:$B$234,'Budget Worksheet'!$U$4:$U$234,0)</f>
        <v>25000</v>
      </c>
      <c r="Q320" s="107">
        <f>MATCH(G320,'Budget Worksheet'!$B$5:$B$234,0)</f>
        <v>199</v>
      </c>
      <c r="R320" s="112">
        <f t="shared" si="21"/>
        <v>157892.39428571428</v>
      </c>
      <c r="S320" s="108"/>
    </row>
    <row r="321" spans="1:19" x14ac:dyDescent="0.25">
      <c r="A321" s="107">
        <v>308</v>
      </c>
      <c r="B321" s="105" t="s">
        <v>102</v>
      </c>
      <c r="C321" s="105" t="str">
        <f t="shared" si="22"/>
        <v>52</v>
      </c>
      <c r="D321" s="105">
        <v>200</v>
      </c>
      <c r="E321" s="106" t="s">
        <v>10</v>
      </c>
      <c r="F321" s="107" t="str">
        <f t="shared" si="24"/>
        <v>200 General and Administrative</v>
      </c>
      <c r="G321" s="105" t="s">
        <v>767</v>
      </c>
      <c r="H321" s="107" t="s">
        <v>768</v>
      </c>
      <c r="I321" s="112">
        <v>25000</v>
      </c>
      <c r="J321" s="113">
        <f>SUMIFS('Budget Worksheet'!$J$5:$J$234,'Budget Worksheet'!$B$5:$B$234,'Master Budget'!G321)</f>
        <v>25000</v>
      </c>
      <c r="K321" s="113">
        <f>_xlfn.XLOOKUP(G321,'Budget Worksheet'!$B$5:$B$234,'Budget Worksheet'!$G$5:$G$234,0)</f>
        <v>8958.0514285714271</v>
      </c>
      <c r="L321" s="113">
        <f>SUMIFS('Budget Worksheet'!$L$5:$L$234,'Budget Worksheet'!$B$5:$B$234,'Master Budget'!G321)</f>
        <v>25000</v>
      </c>
      <c r="M321" s="113">
        <f>_xlfn.XLOOKUP(G321,'Budget Worksheet'!$B$5:$B$234,'Budget Worksheet'!$N$5:$N$234,0)</f>
        <v>25000</v>
      </c>
      <c r="N321" s="113">
        <f>_xlfn.XLOOKUP(G321,'Budget Worksheet'!$B$5:$B$234,'Budget Worksheet'!$P$5:$P$234,0)</f>
        <v>25000</v>
      </c>
      <c r="O321" s="113">
        <f>_xlfn.XLOOKUP(G321,'Budget Worksheet'!$B$4:$B$234,'Budget Worksheet'!$S$4:$S$234,0)</f>
        <v>25000</v>
      </c>
      <c r="P321" s="113">
        <f>_xlfn.XLOOKUP(G321,'Budget Worksheet'!$B$4:$B$234,'Budget Worksheet'!$U$4:$U$234,0)</f>
        <v>25000</v>
      </c>
      <c r="Q321" s="107">
        <f>MATCH(G321,'Budget Worksheet'!$B$5:$B$234,0)</f>
        <v>200</v>
      </c>
      <c r="R321" s="112">
        <f t="shared" si="21"/>
        <v>133958.05142857143</v>
      </c>
      <c r="S321" s="108"/>
    </row>
    <row r="322" spans="1:19" x14ac:dyDescent="0.25">
      <c r="A322" s="107">
        <v>309</v>
      </c>
      <c r="B322" s="105" t="s">
        <v>102</v>
      </c>
      <c r="C322" s="105" t="str">
        <f t="shared" si="22"/>
        <v>52</v>
      </c>
      <c r="D322" s="105">
        <v>200</v>
      </c>
      <c r="E322" s="106" t="s">
        <v>10</v>
      </c>
      <c r="F322" s="107" t="str">
        <f t="shared" si="24"/>
        <v>200 General and Administrative</v>
      </c>
      <c r="G322" s="105" t="s">
        <v>770</v>
      </c>
      <c r="H322" s="107" t="s">
        <v>771</v>
      </c>
      <c r="I322" s="112">
        <v>1500</v>
      </c>
      <c r="J322" s="113">
        <f>SUMIFS('Budget Worksheet'!$J$5:$J$234,'Budget Worksheet'!$B$5:$B$234,'Master Budget'!G322)</f>
        <v>1500</v>
      </c>
      <c r="K322" s="113">
        <f>_xlfn.XLOOKUP(G322,'Budget Worksheet'!$B$5:$B$234,'Budget Worksheet'!$G$5:$G$234,0)</f>
        <v>2432.9142857142861</v>
      </c>
      <c r="L322" s="113">
        <f>SUMIFS('Budget Worksheet'!$L$5:$L$234,'Budget Worksheet'!$B$5:$B$234,'Master Budget'!G322)</f>
        <v>1500</v>
      </c>
      <c r="M322" s="113">
        <f>_xlfn.XLOOKUP(G322,'Budget Worksheet'!$B$5:$B$234,'Budget Worksheet'!$N$5:$N$234,0)</f>
        <v>1500</v>
      </c>
      <c r="N322" s="113">
        <f>_xlfn.XLOOKUP(G322,'Budget Worksheet'!$B$5:$B$234,'Budget Worksheet'!$P$5:$P$234,0)</f>
        <v>1500</v>
      </c>
      <c r="O322" s="113">
        <f>_xlfn.XLOOKUP(G322,'Budget Worksheet'!$B$4:$B$234,'Budget Worksheet'!$S$4:$S$234,0)</f>
        <v>1600</v>
      </c>
      <c r="P322" s="113">
        <f>_xlfn.XLOOKUP(G322,'Budget Worksheet'!$B$4:$B$234,'Budget Worksheet'!$U$4:$U$234,0)</f>
        <v>1600</v>
      </c>
      <c r="Q322" s="107">
        <f>MATCH(G322,'Budget Worksheet'!$B$5:$B$234,0)</f>
        <v>202</v>
      </c>
      <c r="R322" s="112">
        <f t="shared" si="21"/>
        <v>9932.914285714287</v>
      </c>
      <c r="S322" s="108"/>
    </row>
    <row r="323" spans="1:19" x14ac:dyDescent="0.25">
      <c r="A323" s="107">
        <v>310</v>
      </c>
      <c r="B323" s="105" t="s">
        <v>102</v>
      </c>
      <c r="C323" s="105" t="str">
        <f t="shared" si="22"/>
        <v>52</v>
      </c>
      <c r="D323" s="105">
        <v>500</v>
      </c>
      <c r="E323" s="106" t="s">
        <v>11</v>
      </c>
      <c r="F323" s="107" t="str">
        <f t="shared" si="24"/>
        <v>500 Repairs and Maintenance</v>
      </c>
      <c r="G323" s="105" t="s">
        <v>772</v>
      </c>
      <c r="H323" s="107" t="s">
        <v>432</v>
      </c>
      <c r="I323" s="112">
        <v>23000</v>
      </c>
      <c r="J323" s="113">
        <f>SUMIFS('Budget Worksheet'!$J$5:$J$234,'Budget Worksheet'!$B$5:$B$234,'Master Budget'!G323)</f>
        <v>30000</v>
      </c>
      <c r="K323" s="113">
        <f>_xlfn.XLOOKUP(G323,'Budget Worksheet'!$B$5:$B$234,'Budget Worksheet'!$G$5:$G$234,0)</f>
        <v>1901.4</v>
      </c>
      <c r="L323" s="113">
        <f>SUMIFS('Budget Worksheet'!$L$5:$L$234,'Budget Worksheet'!$B$5:$B$234,'Master Budget'!G323)</f>
        <v>23000</v>
      </c>
      <c r="M323" s="113">
        <f>_xlfn.XLOOKUP(G323,'Budget Worksheet'!$B$5:$B$234,'Budget Worksheet'!$N$5:$N$234,0)</f>
        <v>23000</v>
      </c>
      <c r="N323" s="113">
        <f>_xlfn.XLOOKUP(G323,'Budget Worksheet'!$B$5:$B$234,'Budget Worksheet'!$P$5:$P$234,0)</f>
        <v>23000</v>
      </c>
      <c r="O323" s="113">
        <f>_xlfn.XLOOKUP(G323,'Budget Worksheet'!$B$4:$B$234,'Budget Worksheet'!$S$4:$S$234,0)</f>
        <v>33000</v>
      </c>
      <c r="P323" s="113">
        <f>_xlfn.XLOOKUP(G323,'Budget Worksheet'!$B$4:$B$234,'Budget Worksheet'!$U$4:$U$234,0)</f>
        <v>33000</v>
      </c>
      <c r="Q323" s="107">
        <f>MATCH(G323,'Budget Worksheet'!$B$5:$B$234,0)</f>
        <v>203</v>
      </c>
      <c r="R323" s="112">
        <f t="shared" si="21"/>
        <v>123901.4</v>
      </c>
      <c r="S323" s="108"/>
    </row>
    <row r="324" spans="1:19" x14ac:dyDescent="0.25">
      <c r="A324" s="107">
        <v>311</v>
      </c>
      <c r="B324" s="105" t="s">
        <v>102</v>
      </c>
      <c r="C324" s="105" t="str">
        <f t="shared" si="22"/>
        <v>52</v>
      </c>
      <c r="D324" s="105">
        <v>200</v>
      </c>
      <c r="E324" s="106" t="s">
        <v>10</v>
      </c>
      <c r="F324" s="107" t="str">
        <f t="shared" si="24"/>
        <v>200 General and Administrative</v>
      </c>
      <c r="G324" s="105" t="s">
        <v>773</v>
      </c>
      <c r="H324" s="107" t="s">
        <v>774</v>
      </c>
      <c r="I324" s="112">
        <v>35000</v>
      </c>
      <c r="J324" s="113">
        <f>SUMIFS('Budget Worksheet'!$J$5:$J$234,'Budget Worksheet'!$B$5:$B$234,'Master Budget'!G324)</f>
        <v>35000</v>
      </c>
      <c r="K324" s="113">
        <f>_xlfn.XLOOKUP(G324,'Budget Worksheet'!$B$5:$B$234,'Budget Worksheet'!$G$5:$G$234,0)</f>
        <v>10845.822857142855</v>
      </c>
      <c r="L324" s="113">
        <f>SUMIFS('Budget Worksheet'!$L$5:$L$234,'Budget Worksheet'!$B$5:$B$234,'Master Budget'!G324)</f>
        <v>35000</v>
      </c>
      <c r="M324" s="113">
        <f>_xlfn.XLOOKUP(G324,'Budget Worksheet'!$B$5:$B$234,'Budget Worksheet'!$N$5:$N$234,0)</f>
        <v>35000</v>
      </c>
      <c r="N324" s="113">
        <f>_xlfn.XLOOKUP(G324,'Budget Worksheet'!$B$5:$B$234,'Budget Worksheet'!$P$5:$P$234,0)</f>
        <v>35000</v>
      </c>
      <c r="O324" s="113">
        <f>_xlfn.XLOOKUP(G324,'Budget Worksheet'!$B$4:$B$234,'Budget Worksheet'!$S$4:$S$234,0)</f>
        <v>35000</v>
      </c>
      <c r="P324" s="113">
        <f>_xlfn.XLOOKUP(G324,'Budget Worksheet'!$B$4:$B$234,'Budget Worksheet'!$U$4:$U$234,0)</f>
        <v>35000</v>
      </c>
      <c r="Q324" s="107">
        <f>MATCH(G324,'Budget Worksheet'!$B$5:$B$234,0)</f>
        <v>204</v>
      </c>
      <c r="R324" s="112">
        <f t="shared" si="21"/>
        <v>185845.82285714286</v>
      </c>
      <c r="S324" s="108"/>
    </row>
    <row r="325" spans="1:19" x14ac:dyDescent="0.25">
      <c r="A325" s="107">
        <v>312</v>
      </c>
      <c r="B325" s="105" t="s">
        <v>102</v>
      </c>
      <c r="C325" s="105" t="str">
        <f t="shared" si="22"/>
        <v>52</v>
      </c>
      <c r="D325" s="105">
        <v>200</v>
      </c>
      <c r="E325" s="106" t="s">
        <v>10</v>
      </c>
      <c r="F325" s="107" t="str">
        <f t="shared" si="24"/>
        <v>200 General and Administrative</v>
      </c>
      <c r="G325" s="105" t="s">
        <v>775</v>
      </c>
      <c r="H325" s="107" t="s">
        <v>776</v>
      </c>
      <c r="I325" s="112">
        <v>7000</v>
      </c>
      <c r="J325" s="113">
        <f>SUMIFS('Budget Worksheet'!$J$5:$J$234,'Budget Worksheet'!$B$5:$B$234,'Master Budget'!G325)</f>
        <v>20000</v>
      </c>
      <c r="K325" s="113">
        <f>_xlfn.XLOOKUP(G325,'Budget Worksheet'!$B$5:$B$234,'Budget Worksheet'!$G$5:$G$234,0)</f>
        <v>12305.005714285715</v>
      </c>
      <c r="L325" s="113">
        <f>SUMIFS('Budget Worksheet'!$L$5:$L$234,'Budget Worksheet'!$B$5:$B$234,'Master Budget'!G325)</f>
        <v>20000</v>
      </c>
      <c r="M325" s="113">
        <f>_xlfn.XLOOKUP(G325,'Budget Worksheet'!$B$5:$B$234,'Budget Worksheet'!$N$5:$N$234,0)</f>
        <v>20000</v>
      </c>
      <c r="N325" s="113">
        <f>_xlfn.XLOOKUP(G325,'Budget Worksheet'!$B$5:$B$234,'Budget Worksheet'!$P$5:$P$234,0)</f>
        <v>20000</v>
      </c>
      <c r="O325" s="113">
        <f>_xlfn.XLOOKUP(G325,'Budget Worksheet'!$B$4:$B$234,'Budget Worksheet'!$S$4:$S$234,0)</f>
        <v>20000</v>
      </c>
      <c r="P325" s="113">
        <f>_xlfn.XLOOKUP(G325,'Budget Worksheet'!$B$4:$B$234,'Budget Worksheet'!$U$4:$U$234,0)</f>
        <v>20000</v>
      </c>
      <c r="Q325" s="107">
        <f>MATCH(G325,'Budget Worksheet'!$B$5:$B$234,0)</f>
        <v>205</v>
      </c>
      <c r="R325" s="112">
        <f t="shared" si="21"/>
        <v>99305.005714285711</v>
      </c>
      <c r="S325" s="108"/>
    </row>
    <row r="326" spans="1:19" x14ac:dyDescent="0.25">
      <c r="A326" s="107">
        <v>313</v>
      </c>
      <c r="B326" s="105" t="s">
        <v>102</v>
      </c>
      <c r="C326" s="105" t="str">
        <f t="shared" si="22"/>
        <v>52</v>
      </c>
      <c r="D326" s="105">
        <v>200</v>
      </c>
      <c r="E326" s="106" t="s">
        <v>10</v>
      </c>
      <c r="F326" s="107" t="str">
        <f t="shared" si="24"/>
        <v>200 General and Administrative</v>
      </c>
      <c r="G326" s="105" t="s">
        <v>777</v>
      </c>
      <c r="H326" s="107" t="s">
        <v>778</v>
      </c>
      <c r="I326" s="112">
        <v>17000</v>
      </c>
      <c r="J326" s="113">
        <f>SUMIFS('Budget Worksheet'!$J$5:$J$234,'Budget Worksheet'!$B$5:$B$234,'Master Budget'!G326)</f>
        <v>21000</v>
      </c>
      <c r="K326" s="113">
        <f>_xlfn.XLOOKUP(G326,'Budget Worksheet'!$B$5:$B$234,'Budget Worksheet'!$G$5:$G$234,0)</f>
        <v>2055.4285714285716</v>
      </c>
      <c r="L326" s="113">
        <f>SUMIFS('Budget Worksheet'!$L$5:$L$234,'Budget Worksheet'!$B$5:$B$234,'Master Budget'!G326)</f>
        <v>21000</v>
      </c>
      <c r="M326" s="113">
        <f>_xlfn.XLOOKUP(G326,'Budget Worksheet'!$B$5:$B$234,'Budget Worksheet'!$N$5:$N$234,0)</f>
        <v>21000</v>
      </c>
      <c r="N326" s="113">
        <f>_xlfn.XLOOKUP(G326,'Budget Worksheet'!$B$5:$B$234,'Budget Worksheet'!$P$5:$P$234,0)</f>
        <v>21000</v>
      </c>
      <c r="O326" s="113">
        <f>_xlfn.XLOOKUP(G326,'Budget Worksheet'!$B$4:$B$234,'Budget Worksheet'!$S$4:$S$234,0)</f>
        <v>21000</v>
      </c>
      <c r="P326" s="113">
        <f>_xlfn.XLOOKUP(G326,'Budget Worksheet'!$B$4:$B$234,'Budget Worksheet'!$U$4:$U$234,0)</f>
        <v>21000</v>
      </c>
      <c r="Q326" s="107">
        <f>MATCH(G326,'Budget Worksheet'!$B$5:$B$234,0)</f>
        <v>206</v>
      </c>
      <c r="R326" s="112">
        <f t="shared" si="21"/>
        <v>103055.42857142858</v>
      </c>
      <c r="S326" s="108"/>
    </row>
    <row r="327" spans="1:19" x14ac:dyDescent="0.25">
      <c r="A327" s="107">
        <v>314</v>
      </c>
      <c r="B327" s="105" t="s">
        <v>102</v>
      </c>
      <c r="C327" s="105" t="str">
        <f t="shared" si="22"/>
        <v>52</v>
      </c>
      <c r="D327" s="105">
        <v>970</v>
      </c>
      <c r="E327" s="106" t="s">
        <v>884</v>
      </c>
      <c r="F327" s="107" t="str">
        <f t="shared" si="24"/>
        <v>970 Debt Principle Payments</v>
      </c>
      <c r="G327" s="105" t="s">
        <v>781</v>
      </c>
      <c r="H327" s="107" t="s">
        <v>665</v>
      </c>
      <c r="I327" s="112">
        <v>430000</v>
      </c>
      <c r="J327" s="113">
        <f>SUMIFS('Budget Worksheet'!$J$5:$J$234,'Budget Worksheet'!$B$5:$B$234,'Master Budget'!G327)</f>
        <v>430000</v>
      </c>
      <c r="K327" s="113">
        <f>_xlfn.XLOOKUP(G327,'Budget Worksheet'!$B$5:$B$234,'Budget Worksheet'!$G$5:$G$234,0)</f>
        <v>0</v>
      </c>
      <c r="L327" s="113">
        <f>SUMIFS('Budget Worksheet'!$L$5:$L$234,'Budget Worksheet'!$B$5:$B$234,'Master Budget'!G327)</f>
        <v>430000</v>
      </c>
      <c r="M327" s="113">
        <f>_xlfn.XLOOKUP(G327,'Budget Worksheet'!$B$5:$B$234,'Budget Worksheet'!$N$5:$N$234,0)</f>
        <v>230000</v>
      </c>
      <c r="N327" s="113">
        <f>_xlfn.XLOOKUP(G327,'Budget Worksheet'!$B$5:$B$234,'Budget Worksheet'!$P$5:$P$234,0)</f>
        <v>170325</v>
      </c>
      <c r="O327" s="113">
        <f>_xlfn.XLOOKUP(G327,'Budget Worksheet'!$B$4:$B$234,'Budget Worksheet'!$S$4:$S$234,0)</f>
        <v>430000</v>
      </c>
      <c r="P327" s="113">
        <f>_xlfn.XLOOKUP(G327,'Budget Worksheet'!$B$4:$B$234,'Budget Worksheet'!$U$4:$U$234,0)</f>
        <v>430000</v>
      </c>
      <c r="Q327" s="107">
        <f>MATCH(G327,'Budget Worksheet'!$B$5:$B$234,0)</f>
        <v>208</v>
      </c>
      <c r="R327" s="112">
        <f t="shared" ref="R327:R360" si="25">SUM(I327:N327)</f>
        <v>1690325</v>
      </c>
      <c r="S327" s="108"/>
    </row>
    <row r="328" spans="1:19" x14ac:dyDescent="0.25">
      <c r="A328" s="107">
        <v>315</v>
      </c>
      <c r="B328" s="105" t="s">
        <v>102</v>
      </c>
      <c r="C328" s="105" t="str">
        <f t="shared" ref="C328:C360" si="26">LEFT(G328,2)</f>
        <v>52</v>
      </c>
      <c r="D328" s="105">
        <v>620</v>
      </c>
      <c r="E328" s="106" t="s">
        <v>23</v>
      </c>
      <c r="F328" s="107" t="str">
        <f t="shared" si="24"/>
        <v>620 Interest Expense</v>
      </c>
      <c r="G328" s="105" t="s">
        <v>783</v>
      </c>
      <c r="H328" s="107" t="s">
        <v>23</v>
      </c>
      <c r="I328" s="112">
        <v>63620</v>
      </c>
      <c r="J328" s="113">
        <f>SUMIFS('Budget Worksheet'!$J$5:$J$234,'Budget Worksheet'!$B$5:$B$234,'Master Budget'!G328)</f>
        <v>63620</v>
      </c>
      <c r="K328" s="113">
        <f>_xlfn.XLOOKUP(G328,'Budget Worksheet'!$B$5:$B$234,'Budget Worksheet'!$G$5:$G$234,0)</f>
        <v>1514.6742857142856</v>
      </c>
      <c r="L328" s="113">
        <f>SUMIFS('Budget Worksheet'!$L$5:$L$234,'Budget Worksheet'!$B$5:$B$234,'Master Budget'!G328)</f>
        <v>63620</v>
      </c>
      <c r="M328" s="113">
        <f>_xlfn.XLOOKUP(G328,'Budget Worksheet'!$B$5:$B$234,'Budget Worksheet'!$N$5:$N$234,0)</f>
        <v>63620</v>
      </c>
      <c r="N328" s="113">
        <f>_xlfn.XLOOKUP(G328,'Budget Worksheet'!$B$5:$B$234,'Budget Worksheet'!$P$5:$P$234,0)</f>
        <v>63620</v>
      </c>
      <c r="O328" s="113">
        <f>_xlfn.XLOOKUP(G328,'Budget Worksheet'!$B$4:$B$234,'Budget Worksheet'!$S$4:$S$234,0)</f>
        <v>63620</v>
      </c>
      <c r="P328" s="113">
        <f>_xlfn.XLOOKUP(G328,'Budget Worksheet'!$B$4:$B$234,'Budget Worksheet'!$U$4:$U$234,0)</f>
        <v>63620</v>
      </c>
      <c r="Q328" s="107">
        <f>MATCH(G328,'Budget Worksheet'!$B$5:$B$234,0)</f>
        <v>209</v>
      </c>
      <c r="R328" s="112">
        <f t="shared" si="25"/>
        <v>319614.67428571428</v>
      </c>
      <c r="S328" s="108"/>
    </row>
    <row r="329" spans="1:19" x14ac:dyDescent="0.25">
      <c r="A329" s="107">
        <v>316</v>
      </c>
      <c r="B329" s="105" t="s">
        <v>102</v>
      </c>
      <c r="C329" s="105" t="str">
        <f t="shared" si="26"/>
        <v>52</v>
      </c>
      <c r="D329" s="105">
        <v>700</v>
      </c>
      <c r="E329" s="106" t="s">
        <v>12</v>
      </c>
      <c r="F329" s="107" t="str">
        <f t="shared" si="24"/>
        <v>700 Depreciation and Amortization</v>
      </c>
      <c r="G329" s="105" t="s">
        <v>785</v>
      </c>
      <c r="H329" s="107" t="s">
        <v>43</v>
      </c>
      <c r="I329" s="112">
        <v>111558.12</v>
      </c>
      <c r="J329" s="113">
        <f>SUMIFS('Budget Worksheet'!$J$5:$J$234,'Budget Worksheet'!$B$5:$B$234,'Master Budget'!G329)</f>
        <v>111558</v>
      </c>
      <c r="K329" s="113">
        <f>_xlfn.XLOOKUP(G329,'Budget Worksheet'!$B$5:$B$234,'Budget Worksheet'!$G$5:$G$234,0)</f>
        <v>109248.59999999999</v>
      </c>
      <c r="L329" s="113">
        <f>SUMIFS('Budget Worksheet'!$L$5:$L$234,'Budget Worksheet'!$B$5:$B$234,'Master Budget'!G329)</f>
        <v>111558</v>
      </c>
      <c r="M329" s="113">
        <f>_xlfn.XLOOKUP(G329,'Budget Worksheet'!$B$5:$B$234,'Budget Worksheet'!$N$5:$N$234,0)</f>
        <v>111558</v>
      </c>
      <c r="N329" s="113">
        <f>_xlfn.XLOOKUP(G329,'Budget Worksheet'!$B$5:$B$234,'Budget Worksheet'!$P$5:$P$234,0)</f>
        <v>111558</v>
      </c>
      <c r="O329" s="113">
        <f>_xlfn.XLOOKUP(G329,'Budget Worksheet'!$B$4:$B$234,'Budget Worksheet'!$S$4:$S$234,0)</f>
        <v>111558</v>
      </c>
      <c r="P329" s="113">
        <f>_xlfn.XLOOKUP(G329,'Budget Worksheet'!$B$4:$B$234,'Budget Worksheet'!$U$4:$U$234,0)</f>
        <v>111558</v>
      </c>
      <c r="Q329" s="107">
        <f>MATCH(G329,'Budget Worksheet'!$B$5:$B$234,0)</f>
        <v>211</v>
      </c>
      <c r="R329" s="112">
        <f t="shared" si="25"/>
        <v>667038.71999999997</v>
      </c>
      <c r="S329" s="108"/>
    </row>
    <row r="330" spans="1:19" x14ac:dyDescent="0.25">
      <c r="A330" s="107">
        <v>317</v>
      </c>
      <c r="B330" s="105" t="s">
        <v>102</v>
      </c>
      <c r="C330" s="105" t="str">
        <f t="shared" si="26"/>
        <v>52</v>
      </c>
      <c r="D330" s="105">
        <v>710</v>
      </c>
      <c r="E330" s="106" t="s">
        <v>882</v>
      </c>
      <c r="F330" s="107" t="str">
        <f t="shared" si="24"/>
        <v>710 Capital Outlay</v>
      </c>
      <c r="G330" s="105" t="s">
        <v>786</v>
      </c>
      <c r="H330" s="107" t="s">
        <v>787</v>
      </c>
      <c r="I330" s="174">
        <v>5183000</v>
      </c>
      <c r="J330" s="175">
        <f>SUMIFS('Budget Worksheet'!$J$5:$J$234,'Budget Worksheet'!$B$5:$B$234,'Master Budget'!G330)</f>
        <v>0</v>
      </c>
      <c r="K330" s="113">
        <f>_xlfn.XLOOKUP(G330,'Budget Worksheet'!$B$5:$B$234,'Budget Worksheet'!$G$5:$G$234,0)</f>
        <v>2314898.1942857141</v>
      </c>
      <c r="L330" s="175">
        <f>SUMIFS('Budget Worksheet'!$L$5:$L$234,'Budget Worksheet'!$B$5:$B$234,'Master Budget'!G330)</f>
        <v>0</v>
      </c>
      <c r="M330" s="175">
        <f>_xlfn.XLOOKUP(G330,'Budget Worksheet'!$B$5:$B$234,'Budget Worksheet'!$N$5:$N$234,0)</f>
        <v>0</v>
      </c>
      <c r="N330" s="175">
        <f>_xlfn.XLOOKUP(G330,'Budget Worksheet'!$B$5:$B$234,'Budget Worksheet'!$P$5:$P$234,0)</f>
        <v>0</v>
      </c>
      <c r="O330" s="113">
        <f>_xlfn.XLOOKUP(G330,'Budget Worksheet'!$B$4:$B$234,'Budget Worksheet'!$S$4:$S$234,0)</f>
        <v>0</v>
      </c>
      <c r="P330" s="113">
        <f>_xlfn.XLOOKUP(G330,'Budget Worksheet'!$B$4:$B$234,'Budget Worksheet'!$U$4:$U$234,0)</f>
        <v>0</v>
      </c>
      <c r="Q330" s="107">
        <f>MATCH(G330,'Budget Worksheet'!$B$5:$B$234,0)</f>
        <v>212</v>
      </c>
      <c r="R330" s="112">
        <f t="shared" si="25"/>
        <v>7497898.1942857141</v>
      </c>
      <c r="S330" s="108"/>
    </row>
    <row r="331" spans="1:19" x14ac:dyDescent="0.25">
      <c r="A331" s="107">
        <v>318</v>
      </c>
      <c r="B331" s="105" t="s">
        <v>102</v>
      </c>
      <c r="C331" s="105" t="str">
        <f t="shared" si="26"/>
        <v>52</v>
      </c>
      <c r="D331" s="105">
        <v>710</v>
      </c>
      <c r="E331" s="106" t="s">
        <v>882</v>
      </c>
      <c r="F331" s="107" t="str">
        <f t="shared" si="24"/>
        <v>710 Capital Outlay</v>
      </c>
      <c r="G331" s="105" t="s">
        <v>788</v>
      </c>
      <c r="H331" s="107" t="s">
        <v>344</v>
      </c>
      <c r="I331" s="174">
        <v>0</v>
      </c>
      <c r="J331" s="175">
        <f>SUMIFS('Budget Worksheet'!$J$5:$J$234,'Budget Worksheet'!$B$5:$B$234,'Master Budget'!G331)</f>
        <v>5866000</v>
      </c>
      <c r="K331" s="113">
        <f>_xlfn.XLOOKUP(G331,'Budget Worksheet'!$B$5:$B$234,'Budget Worksheet'!$G$5:$G$234,0)</f>
        <v>0</v>
      </c>
      <c r="L331" s="175">
        <f>SUMIFS('Budget Worksheet'!$L$5:$L$234,'Budget Worksheet'!$B$5:$B$234,'Master Budget'!G331)</f>
        <v>11180500</v>
      </c>
      <c r="M331" s="175">
        <f>_xlfn.XLOOKUP(G331,'Budget Worksheet'!$B$5:$B$234,'Budget Worksheet'!$N$5:$N$234,0)</f>
        <v>7580000</v>
      </c>
      <c r="N331" s="175">
        <f>_xlfn.XLOOKUP(G331,'Budget Worksheet'!$B$5:$B$234,'Budget Worksheet'!$P$5:$P$234,0)</f>
        <v>4620000</v>
      </c>
      <c r="O331" s="113">
        <f>_xlfn.XLOOKUP(G331,'Budget Worksheet'!$B$4:$B$234,'Budget Worksheet'!$S$4:$S$234,0)</f>
        <v>4580000</v>
      </c>
      <c r="P331" s="113">
        <f>_xlfn.XLOOKUP(G331,'Budget Worksheet'!$B$4:$B$234,'Budget Worksheet'!$U$4:$U$234,0)</f>
        <v>1040000</v>
      </c>
      <c r="Q331" s="107">
        <f>MATCH(G331,'Budget Worksheet'!$B$5:$B$234,0)</f>
        <v>213</v>
      </c>
      <c r="R331" s="174">
        <f t="shared" si="25"/>
        <v>29246500</v>
      </c>
      <c r="S331" s="108"/>
    </row>
    <row r="332" spans="1:19" ht="14.25" thickBot="1" x14ac:dyDescent="0.3">
      <c r="A332" s="121">
        <v>319</v>
      </c>
      <c r="B332" s="122" t="s">
        <v>102</v>
      </c>
      <c r="C332" s="122" t="str">
        <f t="shared" si="26"/>
        <v>52</v>
      </c>
      <c r="D332" s="122">
        <v>720</v>
      </c>
      <c r="E332" s="123" t="s">
        <v>883</v>
      </c>
      <c r="F332" s="121" t="str">
        <f t="shared" si="24"/>
        <v>720 Gain/Loss on disposal</v>
      </c>
      <c r="G332" s="122" t="s">
        <v>789</v>
      </c>
      <c r="H332" s="121" t="s">
        <v>164</v>
      </c>
      <c r="I332" s="124">
        <v>0</v>
      </c>
      <c r="J332" s="125">
        <f>SUMIFS('Budget Worksheet'!$J$5:$J$234,'Budget Worksheet'!$B$5:$B$234,'Master Budget'!G332)</f>
        <v>0</v>
      </c>
      <c r="K332" s="125"/>
      <c r="L332" s="125">
        <f>SUMIFS('Budget Worksheet'!$L$5:$L$234,'Budget Worksheet'!$B$5:$B$234,'Master Budget'!G332)</f>
        <v>0</v>
      </c>
      <c r="M332" s="125">
        <f>_xlfn.XLOOKUP(G332,'Budget Worksheet'!$B$5:$B$234,'Budget Worksheet'!$N$5:$N$234,0)</f>
        <v>0</v>
      </c>
      <c r="N332" s="125">
        <f>_xlfn.XLOOKUP(G332,'Budget Worksheet'!$B$5:$B$234,'Budget Worksheet'!$P$5:$P$234,0)</f>
        <v>0</v>
      </c>
      <c r="O332" s="125">
        <f>_xlfn.XLOOKUP(G332,'Budget Worksheet'!$B$4:$B$234,'Budget Worksheet'!$S$4:$S$234,0)</f>
        <v>0</v>
      </c>
      <c r="P332" s="125">
        <f>_xlfn.XLOOKUP(G332,'Budget Worksheet'!$B$4:$B$234,'Budget Worksheet'!$U$4:$U$234,0)</f>
        <v>0</v>
      </c>
      <c r="Q332" s="121">
        <f>MATCH(G332,'Budget Worksheet'!$B$5:$B$234,0)</f>
        <v>214</v>
      </c>
      <c r="R332" s="124">
        <f t="shared" si="25"/>
        <v>0</v>
      </c>
      <c r="S332" s="108"/>
    </row>
    <row r="333" spans="1:19" x14ac:dyDescent="0.25">
      <c r="A333" s="107">
        <v>320</v>
      </c>
      <c r="B333" s="105" t="s">
        <v>50</v>
      </c>
      <c r="C333" s="105" t="str">
        <f t="shared" si="26"/>
        <v>53</v>
      </c>
      <c r="D333" s="105">
        <v>10000</v>
      </c>
      <c r="E333" s="106" t="s">
        <v>1029</v>
      </c>
      <c r="F333" s="107" t="str">
        <f t="shared" si="24"/>
        <v>10000 Cash and Cash Equivalents</v>
      </c>
      <c r="G333" s="105" t="s">
        <v>790</v>
      </c>
      <c r="H333" s="107" t="s">
        <v>49</v>
      </c>
      <c r="I333" s="112">
        <v>0</v>
      </c>
      <c r="J333" s="113">
        <f>SUMIFS('Budget Worksheet'!$J$5:$J$234,'Budget Worksheet'!$B$5:$B$234,'Master Budget'!G333)</f>
        <v>0</v>
      </c>
      <c r="K333" s="113"/>
      <c r="L333" s="113">
        <f>SUMIFS('Budget Worksheet'!$L$5:$L$234,'Budget Worksheet'!$B$5:$B$234,'Master Budget'!G333)</f>
        <v>0</v>
      </c>
      <c r="M333" s="113">
        <f>_xlfn.XLOOKUP(G333,'Budget Worksheet'!$B$5:$B$234,'Budget Worksheet'!$N$5:$N$234,0)</f>
        <v>0</v>
      </c>
      <c r="N333" s="113">
        <f>_xlfn.XLOOKUP(G333,'Budget Worksheet'!$B$5:$B$234,'Budget Worksheet'!$P$5:$P$234,0)</f>
        <v>0</v>
      </c>
      <c r="O333" s="113">
        <f>_xlfn.XLOOKUP(G333,'Budget Worksheet'!$B$4:$B$234,'Budget Worksheet'!$S$4:$S$234,0)</f>
        <v>0</v>
      </c>
      <c r="P333" s="113">
        <f>_xlfn.XLOOKUP(G333,'Budget Worksheet'!$B$4:$B$234,'Budget Worksheet'!$U$4:$U$234,0)</f>
        <v>0</v>
      </c>
      <c r="Q333" s="107" t="e">
        <f>MATCH(G333,'Budget Worksheet'!$B$5:$B$234,0)</f>
        <v>#N/A</v>
      </c>
      <c r="R333" s="112">
        <f t="shared" si="25"/>
        <v>0</v>
      </c>
      <c r="S333" s="108"/>
    </row>
    <row r="334" spans="1:19" x14ac:dyDescent="0.25">
      <c r="A334" s="107">
        <v>321</v>
      </c>
      <c r="B334" s="105" t="s">
        <v>50</v>
      </c>
      <c r="C334" s="105" t="str">
        <f t="shared" si="26"/>
        <v>53</v>
      </c>
      <c r="F334" s="107" t="str">
        <f t="shared" si="24"/>
        <v xml:space="preserve"> </v>
      </c>
      <c r="G334" s="105" t="s">
        <v>1092</v>
      </c>
      <c r="H334" s="107" t="s">
        <v>1031</v>
      </c>
      <c r="I334" s="112">
        <v>0</v>
      </c>
      <c r="J334" s="113">
        <f>SUMIFS('Budget Worksheet'!$J$5:$J$234,'Budget Worksheet'!$B$5:$B$234,'Master Budget'!G334)</f>
        <v>0</v>
      </c>
      <c r="K334" s="113"/>
      <c r="L334" s="113">
        <f>SUMIFS('Budget Worksheet'!$L$5:$L$234,'Budget Worksheet'!$B$5:$B$234,'Master Budget'!G334)</f>
        <v>0</v>
      </c>
      <c r="M334" s="113">
        <f>_xlfn.XLOOKUP(G334,'Budget Worksheet'!$B$5:$B$234,'Budget Worksheet'!$N$5:$N$234,0)</f>
        <v>0</v>
      </c>
      <c r="N334" s="113">
        <f>_xlfn.XLOOKUP(G334,'Budget Worksheet'!$B$5:$B$234,'Budget Worksheet'!$P$5:$P$234,0)</f>
        <v>0</v>
      </c>
      <c r="O334" s="113">
        <f>_xlfn.XLOOKUP(G334,'Budget Worksheet'!$B$4:$B$234,'Budget Worksheet'!$S$4:$S$234,0)</f>
        <v>0</v>
      </c>
      <c r="P334" s="113">
        <f>_xlfn.XLOOKUP(G334,'Budget Worksheet'!$B$4:$B$234,'Budget Worksheet'!$U$4:$U$234,0)</f>
        <v>0</v>
      </c>
      <c r="Q334" s="107" t="e">
        <f>MATCH(G334,'Budget Worksheet'!$B$5:$B$234,0)</f>
        <v>#N/A</v>
      </c>
      <c r="R334" s="112">
        <f t="shared" si="25"/>
        <v>0</v>
      </c>
      <c r="S334" s="108"/>
    </row>
    <row r="335" spans="1:19" x14ac:dyDescent="0.25">
      <c r="A335" s="107">
        <v>322</v>
      </c>
      <c r="B335" s="105" t="s">
        <v>50</v>
      </c>
      <c r="C335" s="105" t="str">
        <f t="shared" si="26"/>
        <v>53</v>
      </c>
      <c r="D335" s="105">
        <v>10000</v>
      </c>
      <c r="E335" s="106" t="s">
        <v>1029</v>
      </c>
      <c r="F335" s="107" t="str">
        <f t="shared" si="24"/>
        <v>10000 Cash and Cash Equivalents</v>
      </c>
      <c r="G335" s="105" t="s">
        <v>791</v>
      </c>
      <c r="H335" s="107" t="s">
        <v>792</v>
      </c>
      <c r="I335" s="112">
        <v>0</v>
      </c>
      <c r="J335" s="113">
        <f>SUMIFS('Budget Worksheet'!$J$5:$J$234,'Budget Worksheet'!$B$5:$B$234,'Master Budget'!G335)</f>
        <v>0</v>
      </c>
      <c r="K335" s="113"/>
      <c r="L335" s="113">
        <f>SUMIFS('Budget Worksheet'!$L$5:$L$234,'Budget Worksheet'!$B$5:$B$234,'Master Budget'!G335)</f>
        <v>0</v>
      </c>
      <c r="M335" s="113">
        <f>_xlfn.XLOOKUP(G335,'Budget Worksheet'!$B$5:$B$234,'Budget Worksheet'!$N$5:$N$234,0)</f>
        <v>0</v>
      </c>
      <c r="N335" s="113">
        <f>_xlfn.XLOOKUP(G335,'Budget Worksheet'!$B$5:$B$234,'Budget Worksheet'!$P$5:$P$234,0)</f>
        <v>0</v>
      </c>
      <c r="O335" s="113">
        <f>_xlfn.XLOOKUP(G335,'Budget Worksheet'!$B$4:$B$234,'Budget Worksheet'!$S$4:$S$234,0)</f>
        <v>0</v>
      </c>
      <c r="P335" s="113">
        <f>_xlfn.XLOOKUP(G335,'Budget Worksheet'!$B$4:$B$234,'Budget Worksheet'!$U$4:$U$234,0)</f>
        <v>0</v>
      </c>
      <c r="Q335" s="107" t="e">
        <f>MATCH(G335,'Budget Worksheet'!$B$5:$B$234,0)</f>
        <v>#N/A</v>
      </c>
      <c r="R335" s="112">
        <f t="shared" si="25"/>
        <v>0</v>
      </c>
      <c r="S335" s="108"/>
    </row>
    <row r="336" spans="1:19" x14ac:dyDescent="0.25">
      <c r="A336" s="107">
        <v>323</v>
      </c>
      <c r="B336" s="105" t="s">
        <v>50</v>
      </c>
      <c r="C336" s="105" t="str">
        <f t="shared" si="26"/>
        <v>53</v>
      </c>
      <c r="D336" s="105">
        <v>11500</v>
      </c>
      <c r="E336" s="106" t="s">
        <v>54</v>
      </c>
      <c r="F336" s="107" t="str">
        <f t="shared" si="24"/>
        <v>11500 Accounts Receivable</v>
      </c>
      <c r="G336" s="105" t="s">
        <v>793</v>
      </c>
      <c r="H336" s="107" t="s">
        <v>54</v>
      </c>
      <c r="I336" s="112">
        <v>0</v>
      </c>
      <c r="J336" s="113">
        <f>SUMIFS('Budget Worksheet'!$J$5:$J$234,'Budget Worksheet'!$B$5:$B$234,'Master Budget'!G336)</f>
        <v>0</v>
      </c>
      <c r="K336" s="113"/>
      <c r="L336" s="113">
        <f>SUMIFS('Budget Worksheet'!$L$5:$L$234,'Budget Worksheet'!$B$5:$B$234,'Master Budget'!G336)</f>
        <v>0</v>
      </c>
      <c r="M336" s="113">
        <f>_xlfn.XLOOKUP(G336,'Budget Worksheet'!$B$5:$B$234,'Budget Worksheet'!$N$5:$N$234,0)</f>
        <v>0</v>
      </c>
      <c r="N336" s="113">
        <f>_xlfn.XLOOKUP(G336,'Budget Worksheet'!$B$5:$B$234,'Budget Worksheet'!$P$5:$P$234,0)</f>
        <v>0</v>
      </c>
      <c r="O336" s="113">
        <f>_xlfn.XLOOKUP(G336,'Budget Worksheet'!$B$4:$B$234,'Budget Worksheet'!$S$4:$S$234,0)</f>
        <v>0</v>
      </c>
      <c r="P336" s="113">
        <f>_xlfn.XLOOKUP(G336,'Budget Worksheet'!$B$4:$B$234,'Budget Worksheet'!$U$4:$U$234,0)</f>
        <v>0</v>
      </c>
      <c r="Q336" s="107" t="e">
        <f>MATCH(G336,'Budget Worksheet'!$B$5:$B$234,0)</f>
        <v>#N/A</v>
      </c>
      <c r="R336" s="112">
        <f t="shared" si="25"/>
        <v>0</v>
      </c>
      <c r="S336" s="108"/>
    </row>
    <row r="337" spans="1:19" x14ac:dyDescent="0.25">
      <c r="A337" s="107">
        <v>324</v>
      </c>
      <c r="B337" s="105" t="s">
        <v>50</v>
      </c>
      <c r="C337" s="105" t="str">
        <f t="shared" si="26"/>
        <v>53</v>
      </c>
      <c r="D337" s="105">
        <v>16320</v>
      </c>
      <c r="E337" s="106" t="s">
        <v>796</v>
      </c>
      <c r="F337" s="107" t="str">
        <f t="shared" si="24"/>
        <v>16320 Equipment</v>
      </c>
      <c r="G337" s="105" t="s">
        <v>795</v>
      </c>
      <c r="H337" s="107" t="s">
        <v>1093</v>
      </c>
      <c r="I337" s="112">
        <v>0</v>
      </c>
      <c r="J337" s="113">
        <f>SUMIFS('Budget Worksheet'!$J$5:$J$234,'Budget Worksheet'!$B$5:$B$234,'Master Budget'!G337)</f>
        <v>0</v>
      </c>
      <c r="K337" s="113"/>
      <c r="L337" s="113">
        <f>SUMIFS('Budget Worksheet'!$L$5:$L$234,'Budget Worksheet'!$B$5:$B$234,'Master Budget'!G337)</f>
        <v>0</v>
      </c>
      <c r="M337" s="113">
        <f>_xlfn.XLOOKUP(G337,'Budget Worksheet'!$B$5:$B$234,'Budget Worksheet'!$N$5:$N$234,0)</f>
        <v>0</v>
      </c>
      <c r="N337" s="113">
        <f>_xlfn.XLOOKUP(G337,'Budget Worksheet'!$B$5:$B$234,'Budget Worksheet'!$P$5:$P$234,0)</f>
        <v>0</v>
      </c>
      <c r="O337" s="113">
        <f>_xlfn.XLOOKUP(G337,'Budget Worksheet'!$B$4:$B$234,'Budget Worksheet'!$S$4:$S$234,0)</f>
        <v>0</v>
      </c>
      <c r="P337" s="113">
        <f>_xlfn.XLOOKUP(G337,'Budget Worksheet'!$B$4:$B$234,'Budget Worksheet'!$U$4:$U$234,0)</f>
        <v>0</v>
      </c>
      <c r="Q337" s="107" t="e">
        <f>MATCH(G337,'Budget Worksheet'!$B$5:$B$234,0)</f>
        <v>#N/A</v>
      </c>
      <c r="R337" s="112">
        <f t="shared" si="25"/>
        <v>0</v>
      </c>
      <c r="S337" s="108"/>
    </row>
    <row r="338" spans="1:19" x14ac:dyDescent="0.25">
      <c r="A338" s="107">
        <v>325</v>
      </c>
      <c r="B338" s="105" t="s">
        <v>50</v>
      </c>
      <c r="C338" s="105" t="str">
        <f t="shared" si="26"/>
        <v>53</v>
      </c>
      <c r="D338" s="105">
        <v>16900</v>
      </c>
      <c r="E338" s="106" t="s">
        <v>198</v>
      </c>
      <c r="F338" s="107" t="str">
        <f t="shared" si="24"/>
        <v>16900 Accumulated Depreciation</v>
      </c>
      <c r="G338" s="105" t="s">
        <v>797</v>
      </c>
      <c r="H338" s="107" t="s">
        <v>198</v>
      </c>
      <c r="I338" s="112">
        <v>0</v>
      </c>
      <c r="J338" s="113">
        <f>SUMIFS('Budget Worksheet'!$J$5:$J$234,'Budget Worksheet'!$B$5:$B$234,'Master Budget'!G338)</f>
        <v>0</v>
      </c>
      <c r="K338" s="113"/>
      <c r="L338" s="113">
        <f>SUMIFS('Budget Worksheet'!$L$5:$L$234,'Budget Worksheet'!$B$5:$B$234,'Master Budget'!G338)</f>
        <v>0</v>
      </c>
      <c r="M338" s="113">
        <f>_xlfn.XLOOKUP(G338,'Budget Worksheet'!$B$5:$B$234,'Budget Worksheet'!$N$5:$N$234,0)</f>
        <v>0</v>
      </c>
      <c r="N338" s="113">
        <f>_xlfn.XLOOKUP(G338,'Budget Worksheet'!$B$5:$B$234,'Budget Worksheet'!$P$5:$P$234,0)</f>
        <v>0</v>
      </c>
      <c r="O338" s="113">
        <f>_xlfn.XLOOKUP(G338,'Budget Worksheet'!$B$4:$B$234,'Budget Worksheet'!$S$4:$S$234,0)</f>
        <v>0</v>
      </c>
      <c r="P338" s="113">
        <f>_xlfn.XLOOKUP(G338,'Budget Worksheet'!$B$4:$B$234,'Budget Worksheet'!$U$4:$U$234,0)</f>
        <v>0</v>
      </c>
      <c r="Q338" s="107" t="e">
        <f>MATCH(G338,'Budget Worksheet'!$B$5:$B$234,0)</f>
        <v>#N/A</v>
      </c>
      <c r="R338" s="112">
        <f t="shared" si="25"/>
        <v>0</v>
      </c>
      <c r="S338" s="108"/>
    </row>
    <row r="339" spans="1:19" x14ac:dyDescent="0.25">
      <c r="A339" s="107">
        <v>326</v>
      </c>
      <c r="B339" s="105" t="s">
        <v>71</v>
      </c>
      <c r="C339" s="105" t="str">
        <f t="shared" si="26"/>
        <v>53</v>
      </c>
      <c r="D339" s="105">
        <v>21100</v>
      </c>
      <c r="E339" s="106" t="s">
        <v>70</v>
      </c>
      <c r="F339" s="107" t="str">
        <f t="shared" si="24"/>
        <v>21100 Accounts Payable</v>
      </c>
      <c r="G339" s="105" t="s">
        <v>798</v>
      </c>
      <c r="H339" s="107" t="s">
        <v>70</v>
      </c>
      <c r="I339" s="112">
        <v>0</v>
      </c>
      <c r="J339" s="113">
        <f>SUMIFS('Budget Worksheet'!$J$5:$J$234,'Budget Worksheet'!$B$5:$B$234,'Master Budget'!G339)</f>
        <v>0</v>
      </c>
      <c r="K339" s="113"/>
      <c r="L339" s="113">
        <f>SUMIFS('Budget Worksheet'!$L$5:$L$234,'Budget Worksheet'!$B$5:$B$234,'Master Budget'!G339)</f>
        <v>0</v>
      </c>
      <c r="M339" s="113">
        <f>_xlfn.XLOOKUP(G339,'Budget Worksheet'!$B$5:$B$234,'Budget Worksheet'!$N$5:$N$234,0)</f>
        <v>0</v>
      </c>
      <c r="N339" s="113">
        <f>_xlfn.XLOOKUP(G339,'Budget Worksheet'!$B$5:$B$234,'Budget Worksheet'!$P$5:$P$234,0)</f>
        <v>0</v>
      </c>
      <c r="O339" s="113">
        <f>_xlfn.XLOOKUP(G339,'Budget Worksheet'!$B$4:$B$234,'Budget Worksheet'!$S$4:$S$234,0)</f>
        <v>0</v>
      </c>
      <c r="P339" s="113">
        <f>_xlfn.XLOOKUP(G339,'Budget Worksheet'!$B$4:$B$234,'Budget Worksheet'!$U$4:$U$234,0)</f>
        <v>0</v>
      </c>
      <c r="Q339" s="107" t="e">
        <f>MATCH(G339,'Budget Worksheet'!$B$5:$B$234,0)</f>
        <v>#N/A</v>
      </c>
      <c r="R339" s="112">
        <f t="shared" si="25"/>
        <v>0</v>
      </c>
      <c r="S339" s="108"/>
    </row>
    <row r="340" spans="1:19" x14ac:dyDescent="0.25">
      <c r="A340" s="107">
        <v>327</v>
      </c>
      <c r="B340" s="105" t="s">
        <v>1049</v>
      </c>
      <c r="C340" s="105" t="str">
        <f t="shared" si="26"/>
        <v>53</v>
      </c>
      <c r="D340" s="105">
        <v>29100</v>
      </c>
      <c r="E340" s="106" t="s">
        <v>1050</v>
      </c>
      <c r="F340" s="107" t="str">
        <f t="shared" si="24"/>
        <v>29100 Unrestricted</v>
      </c>
      <c r="G340" s="105" t="s">
        <v>799</v>
      </c>
      <c r="H340" s="107" t="s">
        <v>246</v>
      </c>
      <c r="I340" s="112">
        <v>0</v>
      </c>
      <c r="J340" s="113">
        <f>SUMIFS('Budget Worksheet'!$J$5:$J$234,'Budget Worksheet'!$B$5:$B$234,'Master Budget'!G340)</f>
        <v>0</v>
      </c>
      <c r="K340" s="113"/>
      <c r="L340" s="113">
        <f>SUMIFS('Budget Worksheet'!$L$5:$L$234,'Budget Worksheet'!$B$5:$B$234,'Master Budget'!G340)</f>
        <v>0</v>
      </c>
      <c r="M340" s="113">
        <f>_xlfn.XLOOKUP(G340,'Budget Worksheet'!$B$5:$B$234,'Budget Worksheet'!$N$5:$N$234,0)</f>
        <v>0</v>
      </c>
      <c r="N340" s="113">
        <f>_xlfn.XLOOKUP(G340,'Budget Worksheet'!$B$5:$B$234,'Budget Worksheet'!$P$5:$P$234,0)</f>
        <v>0</v>
      </c>
      <c r="O340" s="113">
        <f>_xlfn.XLOOKUP(G340,'Budget Worksheet'!$B$4:$B$234,'Budget Worksheet'!$S$4:$S$234,0)</f>
        <v>0</v>
      </c>
      <c r="P340" s="113">
        <f>_xlfn.XLOOKUP(G340,'Budget Worksheet'!$B$4:$B$234,'Budget Worksheet'!$U$4:$U$234,0)</f>
        <v>0</v>
      </c>
      <c r="Q340" s="107" t="e">
        <f>MATCH(G340,'Budget Worksheet'!$B$5:$B$234,0)</f>
        <v>#N/A</v>
      </c>
      <c r="R340" s="112">
        <f t="shared" si="25"/>
        <v>0</v>
      </c>
      <c r="S340" s="108"/>
    </row>
    <row r="341" spans="1:19" x14ac:dyDescent="0.25">
      <c r="A341" s="107">
        <v>328</v>
      </c>
      <c r="B341" s="105" t="s">
        <v>97</v>
      </c>
      <c r="C341" s="105" t="str">
        <f t="shared" si="26"/>
        <v>53</v>
      </c>
      <c r="D341" s="105">
        <v>30</v>
      </c>
      <c r="E341" s="106" t="s">
        <v>6</v>
      </c>
      <c r="F341" s="107" t="str">
        <f t="shared" si="24"/>
        <v>30 Charges for services</v>
      </c>
      <c r="G341" s="105" t="s">
        <v>800</v>
      </c>
      <c r="H341" s="107" t="s">
        <v>801</v>
      </c>
      <c r="I341" s="112">
        <v>-26000</v>
      </c>
      <c r="J341" s="113">
        <f>SUMIFS('Budget Worksheet'!$J$5:$J$234,'Budget Worksheet'!$B$5:$B$234,'Master Budget'!G341)</f>
        <v>-26000</v>
      </c>
      <c r="K341" s="113">
        <f>_xlfn.XLOOKUP(G341,'Budget Worksheet'!$B$5:$B$234,'Budget Worksheet'!$G$5:$G$234,0)</f>
        <v>0</v>
      </c>
      <c r="L341" s="113">
        <f>SUMIFS('Budget Worksheet'!$L$5:$L$234,'Budget Worksheet'!$B$5:$B$234,'Master Budget'!G341)</f>
        <v>-26000</v>
      </c>
      <c r="M341" s="113">
        <f>_xlfn.XLOOKUP(G341,'Budget Worksheet'!$B$5:$B$234,'Budget Worksheet'!$N$5:$N$234,0)</f>
        <v>-26000</v>
      </c>
      <c r="N341" s="113">
        <f>_xlfn.XLOOKUP(G341,'Budget Worksheet'!$B$5:$B$234,'Budget Worksheet'!$P$5:$P$234,0)</f>
        <v>-28500</v>
      </c>
      <c r="O341" s="113">
        <f>_xlfn.XLOOKUP(G341,'Budget Worksheet'!$B$4:$B$234,'Budget Worksheet'!$S$4:$S$234,0)</f>
        <v>-28500</v>
      </c>
      <c r="P341" s="113">
        <f>_xlfn.XLOOKUP(G341,'Budget Worksheet'!$B$4:$B$234,'Budget Worksheet'!$U$4:$U$234,0)</f>
        <v>-28500</v>
      </c>
      <c r="Q341" s="107">
        <f>MATCH(G341,'Budget Worksheet'!$B$5:$B$234,0)</f>
        <v>215</v>
      </c>
      <c r="R341" s="112">
        <f t="shared" si="25"/>
        <v>-132500</v>
      </c>
      <c r="S341" s="108"/>
    </row>
    <row r="342" spans="1:19" x14ac:dyDescent="0.25">
      <c r="A342" s="107">
        <v>329</v>
      </c>
      <c r="B342" s="105" t="s">
        <v>97</v>
      </c>
      <c r="C342" s="105" t="str">
        <f t="shared" si="26"/>
        <v>53</v>
      </c>
      <c r="D342" s="105">
        <v>960</v>
      </c>
      <c r="E342" s="106" t="s">
        <v>19</v>
      </c>
      <c r="F342" s="107" t="str">
        <f t="shared" si="24"/>
        <v>960 Interest income</v>
      </c>
      <c r="G342" s="105" t="s">
        <v>802</v>
      </c>
      <c r="H342" s="107" t="s">
        <v>467</v>
      </c>
      <c r="I342" s="112">
        <v>0</v>
      </c>
      <c r="J342" s="113">
        <f>SUMIFS('Budget Worksheet'!$J$5:$J$234,'Budget Worksheet'!$B$5:$B$234,'Master Budget'!G342)</f>
        <v>0</v>
      </c>
      <c r="K342" s="113"/>
      <c r="L342" s="113">
        <f>SUMIFS('Budget Worksheet'!$L$5:$L$234,'Budget Worksheet'!$B$5:$B$234,'Master Budget'!G342)</f>
        <v>0</v>
      </c>
      <c r="M342" s="113">
        <f>_xlfn.XLOOKUP(G342,'Budget Worksheet'!$B$5:$B$234,'Budget Worksheet'!$N$5:$N$234,0)</f>
        <v>0</v>
      </c>
      <c r="N342" s="113">
        <f>_xlfn.XLOOKUP(G342,'Budget Worksheet'!$B$5:$B$234,'Budget Worksheet'!$P$5:$P$234,0)</f>
        <v>0</v>
      </c>
      <c r="O342" s="113">
        <f>_xlfn.XLOOKUP(G342,'Budget Worksheet'!$B$4:$B$234,'Budget Worksheet'!$S$4:$S$234,0)</f>
        <v>0</v>
      </c>
      <c r="P342" s="113">
        <f>_xlfn.XLOOKUP(G342,'Budget Worksheet'!$B$4:$B$234,'Budget Worksheet'!$U$4:$U$234,0)</f>
        <v>0</v>
      </c>
      <c r="Q342" s="107">
        <f>MATCH(G342,'Budget Worksheet'!$B$5:$B$234,0)</f>
        <v>216</v>
      </c>
      <c r="R342" s="112">
        <f t="shared" si="25"/>
        <v>0</v>
      </c>
      <c r="S342" s="108"/>
    </row>
    <row r="343" spans="1:19" x14ac:dyDescent="0.25">
      <c r="B343" s="105" t="s">
        <v>102</v>
      </c>
      <c r="C343" s="105" t="str">
        <f t="shared" si="26"/>
        <v>53</v>
      </c>
      <c r="D343" s="105">
        <v>100</v>
      </c>
      <c r="E343" s="106" t="s">
        <v>9</v>
      </c>
      <c r="F343" s="107" t="str">
        <f t="shared" ref="F343:F348" si="27">D343&amp;" "&amp;E343</f>
        <v>100 Salaries and Benefits</v>
      </c>
      <c r="G343" s="105" t="s">
        <v>862</v>
      </c>
      <c r="H343" s="107" t="s">
        <v>734</v>
      </c>
      <c r="I343" s="112"/>
      <c r="J343" s="113"/>
      <c r="K343" s="113">
        <f>_xlfn.XLOOKUP(G343,'Budget Worksheet'!$B$5:$B$234,'Budget Worksheet'!$G$5:$G$234,0)</f>
        <v>0</v>
      </c>
      <c r="L343" s="113"/>
      <c r="M343" s="113">
        <f>_xlfn.XLOOKUP(G343,'Budget Worksheet'!$B$5:$B$234,'Budget Worksheet'!$N$5:$N$234,0)</f>
        <v>0</v>
      </c>
      <c r="N343" s="113">
        <f>_xlfn.XLOOKUP(G343,'Budget Worksheet'!$B$5:$B$234,'Budget Worksheet'!$P$5:$P$234,0)</f>
        <v>8668.3726500000012</v>
      </c>
      <c r="O343" s="113">
        <f>_xlfn.XLOOKUP(G343,'Budget Worksheet'!$B$4:$B$234,'Budget Worksheet'!$S$4:$S$234,0)</f>
        <v>8659.8013600000013</v>
      </c>
      <c r="P343" s="113">
        <f>_xlfn.XLOOKUP(G343,'Budget Worksheet'!$B$4:$B$234,'Budget Worksheet'!$U$4:$U$234,0)</f>
        <v>9126.9151999999995</v>
      </c>
      <c r="R343" s="112">
        <f t="shared" si="25"/>
        <v>8668.3726500000012</v>
      </c>
      <c r="S343" s="108"/>
    </row>
    <row r="344" spans="1:19" x14ac:dyDescent="0.25">
      <c r="B344" s="105" t="s">
        <v>102</v>
      </c>
      <c r="C344" s="105" t="str">
        <f t="shared" si="26"/>
        <v>53</v>
      </c>
      <c r="D344" s="105">
        <v>100</v>
      </c>
      <c r="E344" s="106" t="s">
        <v>9</v>
      </c>
      <c r="F344" s="107" t="str">
        <f t="shared" si="27"/>
        <v>100 Salaries and Benefits</v>
      </c>
      <c r="G344" s="105" t="s">
        <v>863</v>
      </c>
      <c r="H344" s="107" t="s">
        <v>104</v>
      </c>
      <c r="I344" s="112"/>
      <c r="J344" s="113"/>
      <c r="K344" s="113">
        <f>_xlfn.XLOOKUP(G344,'Budget Worksheet'!$B$5:$B$234,'Budget Worksheet'!$G$5:$G$234,0)</f>
        <v>0</v>
      </c>
      <c r="L344" s="113"/>
      <c r="M344" s="113">
        <f>_xlfn.XLOOKUP(G344,'Budget Worksheet'!$B$5:$B$234,'Budget Worksheet'!$N$5:$N$234,0)</f>
        <v>0</v>
      </c>
      <c r="N344" s="113">
        <f>_xlfn.XLOOKUP(G344,'Budget Worksheet'!$B$5:$B$234,'Budget Worksheet'!$P$5:$P$234,0)</f>
        <v>663.13050772500003</v>
      </c>
      <c r="O344" s="113">
        <f>_xlfn.XLOOKUP(G344,'Budget Worksheet'!$B$4:$B$234,'Budget Worksheet'!$S$4:$S$234,0)</f>
        <v>662.47480404000009</v>
      </c>
      <c r="P344" s="113">
        <f>_xlfn.XLOOKUP(G344,'Budget Worksheet'!$B$4:$B$234,'Budget Worksheet'!$U$4:$U$234,0)</f>
        <v>698.20901279999987</v>
      </c>
      <c r="R344" s="112">
        <f t="shared" si="25"/>
        <v>663.13050772500003</v>
      </c>
      <c r="S344" s="108"/>
    </row>
    <row r="345" spans="1:19" x14ac:dyDescent="0.25">
      <c r="B345" s="105" t="s">
        <v>102</v>
      </c>
      <c r="C345" s="105" t="str">
        <f t="shared" si="26"/>
        <v>53</v>
      </c>
      <c r="D345" s="105">
        <v>100</v>
      </c>
      <c r="E345" s="106" t="s">
        <v>9</v>
      </c>
      <c r="F345" s="107" t="str">
        <f t="shared" si="27"/>
        <v>100 Salaries and Benefits</v>
      </c>
      <c r="G345" s="105" t="s">
        <v>864</v>
      </c>
      <c r="H345" s="107" t="s">
        <v>106</v>
      </c>
      <c r="I345" s="112"/>
      <c r="J345" s="113"/>
      <c r="K345" s="113">
        <f>_xlfn.XLOOKUP(G345,'Budget Worksheet'!$B$5:$B$234,'Budget Worksheet'!$G$5:$G$234,0)</f>
        <v>0</v>
      </c>
      <c r="L345" s="113"/>
      <c r="M345" s="113">
        <f>_xlfn.XLOOKUP(G345,'Budget Worksheet'!$B$5:$B$234,'Budget Worksheet'!$N$5:$N$234,0)</f>
        <v>0</v>
      </c>
      <c r="N345" s="113">
        <f>_xlfn.XLOOKUP(G345,'Budget Worksheet'!$B$5:$B$234,'Budget Worksheet'!$P$5:$P$234,0)</f>
        <v>1134</v>
      </c>
      <c r="O345" s="113">
        <f>_xlfn.XLOOKUP(G345,'Budget Worksheet'!$B$4:$B$234,'Budget Worksheet'!$S$4:$S$234,0)</f>
        <v>1134</v>
      </c>
      <c r="P345" s="113">
        <f>_xlfn.XLOOKUP(G345,'Budget Worksheet'!$B$4:$B$234,'Budget Worksheet'!$U$4:$U$234,0)</f>
        <v>1197.5017599999999</v>
      </c>
      <c r="R345" s="112">
        <f t="shared" si="25"/>
        <v>1134</v>
      </c>
      <c r="S345" s="108"/>
    </row>
    <row r="346" spans="1:19" x14ac:dyDescent="0.25">
      <c r="B346" s="105" t="s">
        <v>102</v>
      </c>
      <c r="C346" s="105" t="str">
        <f t="shared" si="26"/>
        <v>53</v>
      </c>
      <c r="D346" s="105">
        <v>100</v>
      </c>
      <c r="E346" s="106" t="s">
        <v>9</v>
      </c>
      <c r="F346" s="107" t="str">
        <f t="shared" si="27"/>
        <v>100 Salaries and Benefits</v>
      </c>
      <c r="G346" s="105" t="s">
        <v>865</v>
      </c>
      <c r="H346" s="107" t="s">
        <v>108</v>
      </c>
      <c r="I346" s="112"/>
      <c r="J346" s="113"/>
      <c r="K346" s="113">
        <f>_xlfn.XLOOKUP(G346,'Budget Worksheet'!$B$5:$B$234,'Budget Worksheet'!$G$5:$G$234,0)</f>
        <v>0</v>
      </c>
      <c r="L346" s="113"/>
      <c r="M346" s="113">
        <f>_xlfn.XLOOKUP(G346,'Budget Worksheet'!$B$5:$B$234,'Budget Worksheet'!$N$5:$N$234,0)</f>
        <v>0</v>
      </c>
      <c r="N346" s="113">
        <f>_xlfn.XLOOKUP(G346,'Budget Worksheet'!$B$5:$B$234,'Budget Worksheet'!$P$5:$P$234,0)</f>
        <v>1046.8824</v>
      </c>
      <c r="O346" s="113">
        <f>_xlfn.XLOOKUP(G346,'Budget Worksheet'!$B$4:$B$234,'Budget Worksheet'!$S$4:$S$234,0)</f>
        <v>1046.8824</v>
      </c>
      <c r="P346" s="113">
        <f>_xlfn.XLOOKUP(G346,'Budget Worksheet'!$B$4:$B$234,'Budget Worksheet'!$U$4:$U$234,0)</f>
        <v>1130.8846035199999</v>
      </c>
      <c r="R346" s="112">
        <f t="shared" si="25"/>
        <v>1046.8824</v>
      </c>
      <c r="S346" s="108"/>
    </row>
    <row r="347" spans="1:19" x14ac:dyDescent="0.25">
      <c r="B347" s="105" t="s">
        <v>102</v>
      </c>
      <c r="C347" s="105" t="str">
        <f t="shared" si="26"/>
        <v>53</v>
      </c>
      <c r="D347" s="105">
        <v>100</v>
      </c>
      <c r="E347" s="106" t="s">
        <v>9</v>
      </c>
      <c r="F347" s="107" t="str">
        <f t="shared" si="27"/>
        <v>100 Salaries and Benefits</v>
      </c>
      <c r="G347" s="105" t="s">
        <v>866</v>
      </c>
      <c r="H347" s="107" t="s">
        <v>110</v>
      </c>
      <c r="I347" s="112"/>
      <c r="J347" s="113"/>
      <c r="K347" s="113">
        <f>_xlfn.XLOOKUP(G347,'Budget Worksheet'!$B$5:$B$234,'Budget Worksheet'!$G$5:$G$234,0)</f>
        <v>0</v>
      </c>
      <c r="L347" s="113"/>
      <c r="M347" s="113">
        <f>_xlfn.XLOOKUP(G347,'Budget Worksheet'!$B$5:$B$234,'Budget Worksheet'!$N$5:$N$234,0)</f>
        <v>0</v>
      </c>
      <c r="N347" s="113">
        <f>_xlfn.XLOOKUP(G347,'Budget Worksheet'!$B$5:$B$234,'Budget Worksheet'!$P$5:$P$234,0)</f>
        <v>158.61578880000002</v>
      </c>
      <c r="O347" s="113">
        <f>_xlfn.XLOOKUP(G347,'Budget Worksheet'!$B$4:$B$234,'Budget Worksheet'!$S$4:$S$234,0)</f>
        <v>158.19072</v>
      </c>
      <c r="P347" s="113">
        <f>_xlfn.XLOOKUP(G347,'Budget Worksheet'!$B$4:$B$234,'Budget Worksheet'!$U$4:$U$234,0)</f>
        <v>166.78022399999998</v>
      </c>
      <c r="R347" s="112">
        <f t="shared" si="25"/>
        <v>158.61578880000002</v>
      </c>
      <c r="S347" s="108"/>
    </row>
    <row r="348" spans="1:19" x14ac:dyDescent="0.25">
      <c r="B348" s="105" t="s">
        <v>102</v>
      </c>
      <c r="C348" s="105" t="str">
        <f t="shared" si="26"/>
        <v>53</v>
      </c>
      <c r="D348" s="105">
        <v>100</v>
      </c>
      <c r="E348" s="106" t="s">
        <v>9</v>
      </c>
      <c r="F348" s="107" t="str">
        <f t="shared" si="27"/>
        <v>100 Salaries and Benefits</v>
      </c>
      <c r="G348" s="105" t="s">
        <v>868</v>
      </c>
      <c r="H348" s="107" t="s">
        <v>114</v>
      </c>
      <c r="I348" s="112"/>
      <c r="J348" s="113"/>
      <c r="K348" s="113">
        <f>_xlfn.XLOOKUP(G348,'Budget Worksheet'!$B$5:$B$234,'Budget Worksheet'!$G$5:$G$234,0)</f>
        <v>0</v>
      </c>
      <c r="L348" s="113"/>
      <c r="M348" s="113">
        <f>_xlfn.XLOOKUP(G348,'Budget Worksheet'!$B$5:$B$234,'Budget Worksheet'!$N$5:$N$234,0)</f>
        <v>0</v>
      </c>
      <c r="N348" s="113">
        <f>_xlfn.XLOOKUP(G348,'Budget Worksheet'!$B$5:$B$234,'Budget Worksheet'!$P$5:$P$234,0)</f>
        <v>19.200000000000003</v>
      </c>
      <c r="O348" s="113">
        <f>_xlfn.XLOOKUP(G348,'Budget Worksheet'!$B$4:$B$234,'Budget Worksheet'!$S$4:$S$234,0)</f>
        <v>19.200000000000003</v>
      </c>
      <c r="P348" s="113">
        <f>_xlfn.XLOOKUP(G348,'Budget Worksheet'!$B$4:$B$234,'Budget Worksheet'!$U$4:$U$234,0)</f>
        <v>19.200000000000003</v>
      </c>
      <c r="R348" s="112">
        <f t="shared" si="25"/>
        <v>19.200000000000003</v>
      </c>
      <c r="S348" s="108"/>
    </row>
    <row r="349" spans="1:19" x14ac:dyDescent="0.25">
      <c r="A349" s="107">
        <v>330</v>
      </c>
      <c r="B349" s="105" t="s">
        <v>102</v>
      </c>
      <c r="C349" s="105" t="str">
        <f t="shared" si="26"/>
        <v>53</v>
      </c>
      <c r="D349" s="105">
        <v>200</v>
      </c>
      <c r="E349" s="106" t="s">
        <v>10</v>
      </c>
      <c r="F349" s="107" t="str">
        <f t="shared" ref="F349:F359" si="28">D349&amp;" "&amp;E349</f>
        <v>200 General and Administrative</v>
      </c>
      <c r="G349" s="105" t="s">
        <v>804</v>
      </c>
      <c r="H349" s="107" t="s">
        <v>291</v>
      </c>
      <c r="I349" s="112">
        <v>0</v>
      </c>
      <c r="J349" s="113">
        <f>SUMIFS('Budget Worksheet'!$J$5:$J$234,'Budget Worksheet'!$B$5:$B$234,'Master Budget'!G349)</f>
        <v>0</v>
      </c>
      <c r="K349" s="113"/>
      <c r="L349" s="113">
        <f>SUMIFS('Budget Worksheet'!$L$5:$L$234,'Budget Worksheet'!$B$5:$B$234,'Master Budget'!G349)</f>
        <v>0</v>
      </c>
      <c r="M349" s="113">
        <f>_xlfn.XLOOKUP(G349,'Budget Worksheet'!$B$5:$B$234,'Budget Worksheet'!$N$5:$N$234,0)</f>
        <v>0</v>
      </c>
      <c r="N349" s="113">
        <f>_xlfn.XLOOKUP(G349,'Budget Worksheet'!$B$5:$B$234,'Budget Worksheet'!$P$5:$P$234,0)</f>
        <v>0</v>
      </c>
      <c r="O349" s="113">
        <f>_xlfn.XLOOKUP(G349,'Budget Worksheet'!$B$4:$B$234,'Budget Worksheet'!$S$4:$S$234,0)</f>
        <v>0</v>
      </c>
      <c r="P349" s="113">
        <f>_xlfn.XLOOKUP(G349,'Budget Worksheet'!$B$4:$B$234,'Budget Worksheet'!$U$4:$U$234,0)</f>
        <v>0</v>
      </c>
      <c r="Q349" s="107">
        <f>MATCH(G349,'Budget Worksheet'!$B$5:$B$234,0)</f>
        <v>223</v>
      </c>
      <c r="R349" s="112">
        <f t="shared" si="25"/>
        <v>0</v>
      </c>
      <c r="S349" s="108"/>
    </row>
    <row r="350" spans="1:19" x14ac:dyDescent="0.25">
      <c r="B350" s="105" t="s">
        <v>102</v>
      </c>
      <c r="C350" s="105" t="str">
        <f t="shared" si="26"/>
        <v>53</v>
      </c>
      <c r="D350" s="105">
        <v>200</v>
      </c>
      <c r="E350" s="106" t="s">
        <v>10</v>
      </c>
      <c r="F350" s="107" t="str">
        <f t="shared" si="28"/>
        <v>200 General and Administrative</v>
      </c>
      <c r="G350" s="105" t="s">
        <v>805</v>
      </c>
      <c r="H350" s="107" t="s">
        <v>295</v>
      </c>
      <c r="I350" s="112"/>
      <c r="J350" s="113">
        <f>SUMIFS('Budget Worksheet'!$J$5:$J$234,'Budget Worksheet'!$B$5:$B$234,'Master Budget'!G350)</f>
        <v>0</v>
      </c>
      <c r="K350" s="113"/>
      <c r="L350" s="113">
        <f>SUMIFS('Budget Worksheet'!$L$5:$L$234,'Budget Worksheet'!$B$5:$B$234,'Master Budget'!G350)</f>
        <v>0</v>
      </c>
      <c r="M350" s="113">
        <f>_xlfn.XLOOKUP(G350,'Budget Worksheet'!$B$5:$B$234,'Budget Worksheet'!$N$5:$N$234,0)</f>
        <v>0</v>
      </c>
      <c r="N350" s="113">
        <f>_xlfn.XLOOKUP(G350,'Budget Worksheet'!$B$5:$B$234,'Budget Worksheet'!$P$5:$P$234,0)</f>
        <v>0</v>
      </c>
      <c r="O350" s="113">
        <f>_xlfn.XLOOKUP(G350,'Budget Worksheet'!$B$4:$B$234,'Budget Worksheet'!$S$4:$S$234,0)</f>
        <v>0</v>
      </c>
      <c r="P350" s="113">
        <f>_xlfn.XLOOKUP(G350,'Budget Worksheet'!$B$4:$B$234,'Budget Worksheet'!$U$4:$U$234,0)</f>
        <v>0</v>
      </c>
      <c r="Q350" s="107">
        <f>MATCH(G350,'Budget Worksheet'!$B$5:$B$234,0)</f>
        <v>224</v>
      </c>
      <c r="R350" s="112">
        <f t="shared" si="25"/>
        <v>0</v>
      </c>
      <c r="S350" s="108"/>
    </row>
    <row r="351" spans="1:19" x14ac:dyDescent="0.25">
      <c r="A351" s="107">
        <v>331</v>
      </c>
      <c r="B351" s="105" t="s">
        <v>102</v>
      </c>
      <c r="C351" s="105" t="str">
        <f t="shared" si="26"/>
        <v>53</v>
      </c>
      <c r="D351" s="105">
        <v>200</v>
      </c>
      <c r="E351" s="106" t="s">
        <v>10</v>
      </c>
      <c r="F351" s="107" t="str">
        <f t="shared" si="28"/>
        <v>200 General and Administrative</v>
      </c>
      <c r="G351" s="105" t="s">
        <v>806</v>
      </c>
      <c r="H351" s="107" t="s">
        <v>432</v>
      </c>
      <c r="I351" s="112">
        <v>4000</v>
      </c>
      <c r="J351" s="113">
        <f>SUMIFS('Budget Worksheet'!$J$5:$J$234,'Budget Worksheet'!$B$5:$B$234,'Master Budget'!G351)</f>
        <v>4000</v>
      </c>
      <c r="K351" s="113">
        <f>_xlfn.XLOOKUP(G351,'Budget Worksheet'!$B$5:$B$234,'Budget Worksheet'!$G$5:$G$234,0)</f>
        <v>0</v>
      </c>
      <c r="L351" s="113">
        <f>SUMIFS('Budget Worksheet'!$L$5:$L$234,'Budget Worksheet'!$B$5:$B$234,'Master Budget'!G351)</f>
        <v>4000</v>
      </c>
      <c r="M351" s="113">
        <f>_xlfn.XLOOKUP(G351,'Budget Worksheet'!$B$5:$B$234,'Budget Worksheet'!$N$5:$N$234,0)</f>
        <v>4000</v>
      </c>
      <c r="N351" s="113">
        <f>_xlfn.XLOOKUP(G351,'Budget Worksheet'!$B$5:$B$234,'Budget Worksheet'!$P$5:$P$234,0)</f>
        <v>4000</v>
      </c>
      <c r="O351" s="113">
        <f>_xlfn.XLOOKUP(G351,'Budget Worksheet'!$B$4:$B$234,'Budget Worksheet'!$S$4:$S$234,0)</f>
        <v>4000</v>
      </c>
      <c r="P351" s="113">
        <f>_xlfn.XLOOKUP(G351,'Budget Worksheet'!$B$4:$B$234,'Budget Worksheet'!$U$4:$U$234,0)</f>
        <v>4000</v>
      </c>
      <c r="Q351" s="107">
        <f>MATCH(G351,'Budget Worksheet'!$B$5:$B$234,0)</f>
        <v>225</v>
      </c>
      <c r="R351" s="112">
        <f t="shared" si="25"/>
        <v>20000</v>
      </c>
      <c r="S351" s="108"/>
    </row>
    <row r="352" spans="1:19" x14ac:dyDescent="0.25">
      <c r="A352" s="107">
        <v>332</v>
      </c>
      <c r="B352" s="105" t="s">
        <v>102</v>
      </c>
      <c r="C352" s="105" t="str">
        <f t="shared" si="26"/>
        <v>53</v>
      </c>
      <c r="D352" s="105">
        <v>200</v>
      </c>
      <c r="E352" s="106" t="s">
        <v>10</v>
      </c>
      <c r="F352" s="107" t="str">
        <f t="shared" si="28"/>
        <v>200 General and Administrative</v>
      </c>
      <c r="G352" s="105" t="s">
        <v>807</v>
      </c>
      <c r="H352" s="107" t="s">
        <v>1094</v>
      </c>
      <c r="I352" s="112">
        <v>18824</v>
      </c>
      <c r="J352" s="113">
        <f>SUMIFS('Budget Worksheet'!$J$5:$J$234,'Budget Worksheet'!$B$5:$B$234,'Master Budget'!G352)</f>
        <v>18824</v>
      </c>
      <c r="K352" s="113">
        <f>_xlfn.XLOOKUP(G352,'Budget Worksheet'!$B$5:$B$234,'Budget Worksheet'!$G$5:$G$234,0)</f>
        <v>0</v>
      </c>
      <c r="L352" s="113">
        <f>SUMIFS('Budget Worksheet'!$L$5:$L$234,'Budget Worksheet'!$B$5:$B$234,'Master Budget'!G352)</f>
        <v>18824</v>
      </c>
      <c r="M352" s="113">
        <f>_xlfn.XLOOKUP(G352,'Budget Worksheet'!$B$5:$B$234,'Budget Worksheet'!$N$5:$N$234,0)</f>
        <v>18240</v>
      </c>
      <c r="N352" s="113">
        <f>_xlfn.XLOOKUP(G352,'Budget Worksheet'!$B$5:$B$234,'Budget Worksheet'!$P$5:$P$234,0)</f>
        <v>18240</v>
      </c>
      <c r="O352" s="113">
        <f>_xlfn.XLOOKUP(G352,'Budget Worksheet'!$B$4:$B$234,'Budget Worksheet'!$S$4:$S$234,0)</f>
        <v>18240</v>
      </c>
      <c r="P352" s="113">
        <f>_xlfn.XLOOKUP(G352,'Budget Worksheet'!$B$4:$B$234,'Budget Worksheet'!$U$4:$U$234,0)</f>
        <v>18240</v>
      </c>
      <c r="Q352" s="107">
        <f>MATCH(G352,'Budget Worksheet'!$B$5:$B$234,0)</f>
        <v>226</v>
      </c>
      <c r="R352" s="112">
        <f t="shared" si="25"/>
        <v>92952</v>
      </c>
      <c r="S352" s="108"/>
    </row>
    <row r="353" spans="1:19" x14ac:dyDescent="0.25">
      <c r="A353" s="107">
        <v>333</v>
      </c>
      <c r="B353" s="105" t="s">
        <v>102</v>
      </c>
      <c r="C353" s="105" t="str">
        <f t="shared" si="26"/>
        <v>53</v>
      </c>
      <c r="D353" s="105">
        <v>600</v>
      </c>
      <c r="E353" s="106" t="s">
        <v>13</v>
      </c>
      <c r="F353" s="107" t="str">
        <f t="shared" si="28"/>
        <v>600 Bad Debt</v>
      </c>
      <c r="G353" s="105" t="s">
        <v>809</v>
      </c>
      <c r="H353" s="107" t="s">
        <v>315</v>
      </c>
      <c r="I353" s="112">
        <v>0</v>
      </c>
      <c r="J353" s="113">
        <f>SUMIFS('Budget Worksheet'!$J$5:$J$234,'Budget Worksheet'!$B$5:$B$234,'Master Budget'!G353)</f>
        <v>0</v>
      </c>
      <c r="K353" s="113"/>
      <c r="L353" s="113">
        <f>SUMIFS('Budget Worksheet'!$L$5:$L$234,'Budget Worksheet'!$B$5:$B$234,'Master Budget'!G353)</f>
        <v>0</v>
      </c>
      <c r="M353" s="113">
        <f>_xlfn.XLOOKUP(G353,'Budget Worksheet'!$B$5:$B$234,'Budget Worksheet'!$N$5:$N$234,0)</f>
        <v>0</v>
      </c>
      <c r="N353" s="113">
        <f>_xlfn.XLOOKUP(G353,'Budget Worksheet'!$B$5:$B$234,'Budget Worksheet'!$P$5:$P$234,0)</f>
        <v>0</v>
      </c>
      <c r="O353" s="113">
        <f>_xlfn.XLOOKUP(G353,'Budget Worksheet'!$B$4:$B$234,'Budget Worksheet'!$S$4:$S$234,0)</f>
        <v>0</v>
      </c>
      <c r="P353" s="113">
        <f>_xlfn.XLOOKUP(G353,'Budget Worksheet'!$B$4:$B$234,'Budget Worksheet'!$U$4:$U$234,0)</f>
        <v>0</v>
      </c>
      <c r="Q353" s="107">
        <f>MATCH(G353,'Budget Worksheet'!$B$5:$B$234,0)</f>
        <v>227</v>
      </c>
      <c r="R353" s="112">
        <f t="shared" si="25"/>
        <v>0</v>
      </c>
      <c r="S353" s="108"/>
    </row>
    <row r="354" spans="1:19" x14ac:dyDescent="0.25">
      <c r="A354" s="107">
        <v>334</v>
      </c>
      <c r="B354" s="105" t="s">
        <v>102</v>
      </c>
      <c r="C354" s="105" t="str">
        <f t="shared" si="26"/>
        <v>53</v>
      </c>
      <c r="D354" s="105">
        <v>700</v>
      </c>
      <c r="E354" s="106" t="s">
        <v>12</v>
      </c>
      <c r="F354" s="107" t="str">
        <f t="shared" si="28"/>
        <v>700 Depreciation and Amortization</v>
      </c>
      <c r="G354" s="105" t="s">
        <v>810</v>
      </c>
      <c r="H354" s="107" t="s">
        <v>43</v>
      </c>
      <c r="I354" s="112">
        <v>2122.2400000000002</v>
      </c>
      <c r="J354" s="113">
        <f>SUMIFS('Budget Worksheet'!$J$5:$J$234,'Budget Worksheet'!$B$5:$B$234,'Master Budget'!G354)</f>
        <v>2122</v>
      </c>
      <c r="K354" s="113">
        <f>_xlfn.XLOOKUP(G354,'Budget Worksheet'!$B$5:$B$234,'Budget Worksheet'!$G$5:$G$234,0)</f>
        <v>0</v>
      </c>
      <c r="L354" s="113">
        <f>SUMIFS('Budget Worksheet'!$L$5:$L$234,'Budget Worksheet'!$B$5:$B$234,'Master Budget'!G354)</f>
        <v>2122</v>
      </c>
      <c r="M354" s="113">
        <f>_xlfn.XLOOKUP(G354,'Budget Worksheet'!$B$5:$B$234,'Budget Worksheet'!$N$5:$N$234,0)</f>
        <v>2122</v>
      </c>
      <c r="N354" s="113">
        <f>_xlfn.XLOOKUP(G354,'Budget Worksheet'!$B$5:$B$234,'Budget Worksheet'!$P$5:$P$234,0)</f>
        <v>2122</v>
      </c>
      <c r="O354" s="113">
        <f>_xlfn.XLOOKUP(G354,'Budget Worksheet'!$B$4:$B$234,'Budget Worksheet'!$S$4:$S$234,0)</f>
        <v>2122</v>
      </c>
      <c r="P354" s="113">
        <f>_xlfn.XLOOKUP(G354,'Budget Worksheet'!$B$4:$B$234,'Budget Worksheet'!$U$4:$U$234,0)</f>
        <v>2122</v>
      </c>
      <c r="Q354" s="107">
        <f>MATCH(G354,'Budget Worksheet'!$B$5:$B$234,0)</f>
        <v>228</v>
      </c>
      <c r="R354" s="112">
        <f t="shared" si="25"/>
        <v>10610.24</v>
      </c>
      <c r="S354" s="108"/>
    </row>
    <row r="355" spans="1:19" ht="14.25" thickBot="1" x14ac:dyDescent="0.3">
      <c r="A355" s="107">
        <v>335</v>
      </c>
      <c r="B355" s="105" t="s">
        <v>102</v>
      </c>
      <c r="C355" s="105" t="str">
        <f t="shared" si="26"/>
        <v>53</v>
      </c>
      <c r="D355" s="105">
        <v>710</v>
      </c>
      <c r="E355" s="106" t="s">
        <v>882</v>
      </c>
      <c r="F355" s="107" t="str">
        <f t="shared" si="28"/>
        <v>710 Capital Outlay</v>
      </c>
      <c r="G355" s="122" t="s">
        <v>811</v>
      </c>
      <c r="H355" s="121" t="s">
        <v>344</v>
      </c>
      <c r="I355" s="124">
        <v>0</v>
      </c>
      <c r="J355" s="125">
        <f>SUMIFS('Budget Worksheet'!$J$5:$J$234,'Budget Worksheet'!$B$5:$B$234,'Master Budget'!G355)</f>
        <v>0</v>
      </c>
      <c r="K355" s="125"/>
      <c r="L355" s="125">
        <f>SUMIFS('Budget Worksheet'!$L$5:$L$234,'Budget Worksheet'!$B$5:$B$234,'Master Budget'!G355)</f>
        <v>0</v>
      </c>
      <c r="M355" s="125">
        <f>_xlfn.XLOOKUP(G355,'Budget Worksheet'!$B$5:$B$234,'Budget Worksheet'!$N$5:$N$234,0)</f>
        <v>0</v>
      </c>
      <c r="N355" s="125">
        <f>_xlfn.XLOOKUP(G355,'Budget Worksheet'!$B$5:$B$234,'Budget Worksheet'!$P$5:$P$234,0)</f>
        <v>0</v>
      </c>
      <c r="O355" s="125">
        <f>_xlfn.XLOOKUP(G355,'Budget Worksheet'!$B$4:$B$234,'Budget Worksheet'!$S$4:$S$234,0)</f>
        <v>0</v>
      </c>
      <c r="P355" s="125">
        <f>_xlfn.XLOOKUP(G355,'Budget Worksheet'!$B$4:$B$234,'Budget Worksheet'!$U$4:$U$234,0)</f>
        <v>0</v>
      </c>
      <c r="Q355" s="121">
        <f>MATCH(G355,'Budget Worksheet'!$B$5:$B$234,0)</f>
        <v>229</v>
      </c>
      <c r="R355" s="124">
        <f t="shared" si="25"/>
        <v>0</v>
      </c>
      <c r="S355" s="108"/>
    </row>
    <row r="356" spans="1:19" x14ac:dyDescent="0.25">
      <c r="A356" s="107">
        <v>336</v>
      </c>
      <c r="B356" s="105" t="s">
        <v>50</v>
      </c>
      <c r="C356" s="105" t="str">
        <f t="shared" si="26"/>
        <v>99</v>
      </c>
      <c r="D356" s="105">
        <v>10000</v>
      </c>
      <c r="E356" s="106" t="s">
        <v>1029</v>
      </c>
      <c r="F356" s="107" t="str">
        <f t="shared" si="28"/>
        <v>10000 Cash and Cash Equivalents</v>
      </c>
      <c r="G356" s="105" t="s">
        <v>813</v>
      </c>
      <c r="H356" s="107" t="s">
        <v>814</v>
      </c>
      <c r="I356" s="112">
        <v>0</v>
      </c>
      <c r="J356" s="113">
        <f>SUMIFS('Budget Worksheet'!$J$5:$J$234,'Budget Worksheet'!$B$5:$B$234,'Master Budget'!G356)</f>
        <v>0</v>
      </c>
      <c r="K356" s="113"/>
      <c r="L356" s="113">
        <f>SUMIFS('Budget Worksheet'!$L$5:$L$234,'Budget Worksheet'!$B$5:$B$234,'Master Budget'!G356)</f>
        <v>0</v>
      </c>
      <c r="M356" s="113">
        <f>_xlfn.XLOOKUP(G356,'Budget Worksheet'!$B$5:$B$234,'Budget Worksheet'!$N$5:$N$234,0)</f>
        <v>0</v>
      </c>
      <c r="N356" s="113">
        <f>_xlfn.XLOOKUP(G356,'Budget Worksheet'!$B$5:$B$234,'Budget Worksheet'!$P$5:$P$234,0)</f>
        <v>0</v>
      </c>
      <c r="O356" s="113">
        <f>_xlfn.XLOOKUP(G356,'Budget Worksheet'!$B$4:$B$234,'Budget Worksheet'!$S$4:$S$234,0)</f>
        <v>0</v>
      </c>
      <c r="P356" s="113">
        <f>_xlfn.XLOOKUP(G356,'Budget Worksheet'!$B$4:$B$234,'Budget Worksheet'!$U$4:$U$234,0)</f>
        <v>0</v>
      </c>
      <c r="Q356" s="107" t="e">
        <f>MATCH(G356,'Budget Worksheet'!$B$5:$B$234,0)</f>
        <v>#N/A</v>
      </c>
      <c r="R356" s="112">
        <f t="shared" si="25"/>
        <v>0</v>
      </c>
      <c r="S356" s="108"/>
    </row>
    <row r="357" spans="1:19" x14ac:dyDescent="0.25">
      <c r="A357" s="107">
        <v>337</v>
      </c>
      <c r="B357" s="105" t="s">
        <v>50</v>
      </c>
      <c r="C357" s="105" t="str">
        <f t="shared" si="26"/>
        <v>99</v>
      </c>
      <c r="D357" s="105">
        <v>10000</v>
      </c>
      <c r="E357" s="106" t="s">
        <v>1029</v>
      </c>
      <c r="F357" s="107" t="str">
        <f t="shared" si="28"/>
        <v>10000 Cash and Cash Equivalents</v>
      </c>
      <c r="G357" s="105" t="s">
        <v>815</v>
      </c>
      <c r="H357" s="107" t="s">
        <v>816</v>
      </c>
      <c r="I357" s="112">
        <v>0</v>
      </c>
      <c r="J357" s="113">
        <f>SUMIFS('Budget Worksheet'!$J$5:$J$234,'Budget Worksheet'!$B$5:$B$234,'Master Budget'!G357)</f>
        <v>0</v>
      </c>
      <c r="K357" s="113"/>
      <c r="L357" s="113">
        <f>SUMIFS('Budget Worksheet'!$L$5:$L$234,'Budget Worksheet'!$B$5:$B$234,'Master Budget'!G357)</f>
        <v>0</v>
      </c>
      <c r="M357" s="113">
        <f>_xlfn.XLOOKUP(G357,'Budget Worksheet'!$B$5:$B$234,'Budget Worksheet'!$N$5:$N$234,0)</f>
        <v>0</v>
      </c>
      <c r="N357" s="113">
        <f>_xlfn.XLOOKUP(G357,'Budget Worksheet'!$B$5:$B$234,'Budget Worksheet'!$P$5:$P$234,0)</f>
        <v>0</v>
      </c>
      <c r="O357" s="113">
        <f>_xlfn.XLOOKUP(G357,'Budget Worksheet'!$B$4:$B$234,'Budget Worksheet'!$S$4:$S$234,0)</f>
        <v>0</v>
      </c>
      <c r="P357" s="113">
        <f>_xlfn.XLOOKUP(G357,'Budget Worksheet'!$B$4:$B$234,'Budget Worksheet'!$U$4:$U$234,0)</f>
        <v>0</v>
      </c>
      <c r="Q357" s="107" t="e">
        <f>MATCH(G357,'Budget Worksheet'!$B$5:$B$234,0)</f>
        <v>#N/A</v>
      </c>
      <c r="R357" s="112">
        <f t="shared" si="25"/>
        <v>0</v>
      </c>
      <c r="S357" s="108"/>
    </row>
    <row r="358" spans="1:19" x14ac:dyDescent="0.25">
      <c r="A358" s="107">
        <v>338</v>
      </c>
      <c r="B358" s="105" t="s">
        <v>50</v>
      </c>
      <c r="C358" s="105" t="str">
        <f t="shared" si="26"/>
        <v>99</v>
      </c>
      <c r="D358" s="105">
        <v>10000</v>
      </c>
      <c r="E358" s="106" t="s">
        <v>1029</v>
      </c>
      <c r="F358" s="107" t="str">
        <f t="shared" si="28"/>
        <v>10000 Cash and Cash Equivalents</v>
      </c>
      <c r="G358" s="105" t="s">
        <v>817</v>
      </c>
      <c r="H358" s="107" t="s">
        <v>818</v>
      </c>
      <c r="I358" s="112">
        <v>0</v>
      </c>
      <c r="J358" s="113">
        <f>SUMIFS('Budget Worksheet'!$J$5:$J$234,'Budget Worksheet'!$B$5:$B$234,'Master Budget'!G358)</f>
        <v>0</v>
      </c>
      <c r="K358" s="113"/>
      <c r="L358" s="113">
        <f>SUMIFS('Budget Worksheet'!$L$5:$L$234,'Budget Worksheet'!$B$5:$B$234,'Master Budget'!G358)</f>
        <v>0</v>
      </c>
      <c r="M358" s="113">
        <f>_xlfn.XLOOKUP(G358,'Budget Worksheet'!$B$5:$B$234,'Budget Worksheet'!$N$5:$N$234,0)</f>
        <v>0</v>
      </c>
      <c r="N358" s="113">
        <f>_xlfn.XLOOKUP(G358,'Budget Worksheet'!$B$5:$B$234,'Budget Worksheet'!$P$5:$P$234,0)</f>
        <v>0</v>
      </c>
      <c r="O358" s="113">
        <f>_xlfn.XLOOKUP(G358,'Budget Worksheet'!$B$4:$B$234,'Budget Worksheet'!$S$4:$S$234,0)</f>
        <v>0</v>
      </c>
      <c r="P358" s="113">
        <f>_xlfn.XLOOKUP(G358,'Budget Worksheet'!$B$4:$B$234,'Budget Worksheet'!$U$4:$U$234,0)</f>
        <v>0</v>
      </c>
      <c r="Q358" s="107" t="e">
        <f>MATCH(G358,'Budget Worksheet'!$B$5:$B$234,0)</f>
        <v>#N/A</v>
      </c>
      <c r="R358" s="112">
        <f t="shared" si="25"/>
        <v>0</v>
      </c>
      <c r="S358" s="108"/>
    </row>
    <row r="359" spans="1:19" x14ac:dyDescent="0.25">
      <c r="A359" s="107">
        <v>339</v>
      </c>
      <c r="B359" s="105" t="s">
        <v>50</v>
      </c>
      <c r="C359" s="105" t="str">
        <f t="shared" si="26"/>
        <v>99</v>
      </c>
      <c r="D359" s="105">
        <v>10000</v>
      </c>
      <c r="E359" s="106" t="s">
        <v>1029</v>
      </c>
      <c r="F359" s="107" t="str">
        <f t="shared" si="28"/>
        <v>10000 Cash and Cash Equivalents</v>
      </c>
      <c r="G359" s="105" t="s">
        <v>819</v>
      </c>
      <c r="H359" s="107" t="s">
        <v>820</v>
      </c>
      <c r="I359" s="112">
        <v>0</v>
      </c>
      <c r="J359" s="113">
        <f>SUMIFS('Budget Worksheet'!$J$5:$J$234,'Budget Worksheet'!$B$5:$B$234,'Master Budget'!G359)</f>
        <v>0</v>
      </c>
      <c r="K359" s="113"/>
      <c r="L359" s="113">
        <f>SUMIFS('Budget Worksheet'!$L$5:$L$234,'Budget Worksheet'!$B$5:$B$234,'Master Budget'!G359)</f>
        <v>0</v>
      </c>
      <c r="M359" s="113">
        <f>_xlfn.XLOOKUP(G359,'Budget Worksheet'!$B$5:$B$234,'Budget Worksheet'!$N$5:$N$234,0)</f>
        <v>0</v>
      </c>
      <c r="N359" s="113">
        <f>_xlfn.XLOOKUP(G359,'Budget Worksheet'!$B$5:$B$234,'Budget Worksheet'!$P$5:$P$234,0)</f>
        <v>0</v>
      </c>
      <c r="O359" s="113">
        <f>_xlfn.XLOOKUP(G359,'Budget Worksheet'!$B$4:$B$234,'Budget Worksheet'!$S$4:$S$234,0)</f>
        <v>0</v>
      </c>
      <c r="P359" s="113">
        <f>_xlfn.XLOOKUP(G359,'Budget Worksheet'!$B$4:$B$234,'Budget Worksheet'!$U$4:$U$234,0)</f>
        <v>0</v>
      </c>
      <c r="Q359" s="107" t="e">
        <f>MATCH(G359,'Budget Worksheet'!$B$5:$B$234,0)</f>
        <v>#N/A</v>
      </c>
      <c r="R359" s="112">
        <f t="shared" si="25"/>
        <v>0</v>
      </c>
      <c r="S359" s="108"/>
    </row>
    <row r="360" spans="1:19" x14ac:dyDescent="0.25">
      <c r="A360" s="107">
        <v>340</v>
      </c>
      <c r="B360" s="105" t="s">
        <v>71</v>
      </c>
      <c r="C360" s="105" t="str">
        <f t="shared" si="26"/>
        <v>99</v>
      </c>
      <c r="D360" s="105">
        <v>21100</v>
      </c>
      <c r="E360" s="106" t="s">
        <v>70</v>
      </c>
      <c r="F360" s="107" t="str">
        <f t="shared" ref="F360" si="29">D360&amp;" "&amp;E360</f>
        <v>21100 Accounts Payable</v>
      </c>
      <c r="G360" s="105" t="s">
        <v>823</v>
      </c>
      <c r="H360" s="107" t="s">
        <v>70</v>
      </c>
      <c r="I360" s="112">
        <v>0</v>
      </c>
      <c r="J360" s="113">
        <f>SUMIFS('Budget Worksheet'!$J$5:$J$234,'Budget Worksheet'!$B$5:$B$234,'Master Budget'!G360)</f>
        <v>0</v>
      </c>
      <c r="K360" s="113"/>
      <c r="L360" s="113">
        <f>SUMIFS('Budget Worksheet'!$L$5:$L$234,'Budget Worksheet'!$B$5:$B$234,'Master Budget'!G360)</f>
        <v>0</v>
      </c>
      <c r="M360" s="113">
        <f>_xlfn.XLOOKUP(G360,'Budget Worksheet'!$B$5:$B$234,'Budget Worksheet'!$N$5:$N$234,0)</f>
        <v>0</v>
      </c>
      <c r="N360" s="113">
        <f>_xlfn.XLOOKUP(G360,'Budget Worksheet'!$B$5:$B$234,'Budget Worksheet'!$P$5:$P$234,0)</f>
        <v>0</v>
      </c>
      <c r="O360" s="113">
        <f>_xlfn.XLOOKUP(G360,'Budget Worksheet'!$B$4:$B$234,'Budget Worksheet'!$S$4:$S$234,0)</f>
        <v>0</v>
      </c>
      <c r="P360" s="113">
        <f>_xlfn.XLOOKUP(G360,'Budget Worksheet'!$B$4:$B$234,'Budget Worksheet'!$U$4:$U$234,0)</f>
        <v>0</v>
      </c>
      <c r="Q360" s="107" t="e">
        <f>MATCH(G360,'Budget Worksheet'!$B$5:$B$234,0)</f>
        <v>#N/A</v>
      </c>
      <c r="R360" s="112">
        <f t="shared" si="25"/>
        <v>0</v>
      </c>
      <c r="S360" s="108"/>
    </row>
  </sheetData>
  <autoFilter ref="A3:S360" xr:uid="{5DEEC03F-CB33-4136-833D-047790E36DB2}"/>
  <conditionalFormatting sqref="D4:E188 D189 E189:E204 D190:E210">
    <cfRule type="cellIs" dxfId="25" priority="6" operator="equal">
      <formula>0</formula>
    </cfRule>
  </conditionalFormatting>
  <conditionalFormatting sqref="D258:E258">
    <cfRule type="cellIs" dxfId="24" priority="3" operator="equal">
      <formula>0</formula>
    </cfRule>
  </conditionalFormatting>
  <conditionalFormatting sqref="D331:E331">
    <cfRule type="cellIs" dxfId="23" priority="2" operator="equal">
      <formula>0</formula>
    </cfRule>
  </conditionalFormatting>
  <conditionalFormatting sqref="D343:E348">
    <cfRule type="cellIs" dxfId="22" priority="1" operator="equal">
      <formula>0</formula>
    </cfRule>
  </conditionalFormatting>
  <pageMargins left="0.7" right="0.7" top="0.75" bottom="0.75" header="0.3" footer="0.3"/>
  <pageSetup scale="78" fitToHeight="0" orientation="portrait" blackAndWhite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AA234"/>
  <sheetViews>
    <sheetView zoomScaleNormal="100" workbookViewId="0">
      <pane xSplit="4" ySplit="4" topLeftCell="R56" activePane="bottomRight" state="frozen"/>
      <selection pane="topRight" activeCell="M2" sqref="M2"/>
      <selection pane="bottomLeft" activeCell="M2" sqref="M2"/>
      <selection pane="bottomRight" activeCell="S90" sqref="S90"/>
    </sheetView>
  </sheetViews>
  <sheetFormatPr defaultRowHeight="15" x14ac:dyDescent="0.25"/>
  <cols>
    <col min="1" max="1" width="4.42578125" style="1" bestFit="1" customWidth="1"/>
    <col min="2" max="2" width="11.5703125" style="1" customWidth="1"/>
    <col min="3" max="3" width="28.5703125" style="1" bestFit="1" customWidth="1"/>
    <col min="4" max="4" width="6.85546875" style="1" customWidth="1"/>
    <col min="5" max="7" width="13.5703125" style="1" hidden="1" customWidth="1"/>
    <col min="8" max="9" width="14.7109375" style="1" hidden="1" customWidth="1"/>
    <col min="10" max="10" width="17.5703125" style="1" hidden="1" customWidth="1"/>
    <col min="11" max="11" width="16.42578125" style="1" hidden="1" customWidth="1"/>
    <col min="12" max="12" width="17.5703125" style="1" hidden="1" customWidth="1"/>
    <col min="13" max="13" width="15.7109375" style="1" hidden="1" customWidth="1"/>
    <col min="14" max="14" width="17.5703125" style="1" hidden="1" customWidth="1"/>
    <col min="15" max="15" width="15.7109375" style="1" hidden="1" customWidth="1"/>
    <col min="16" max="16" width="17.5703125" style="1" hidden="1" customWidth="1"/>
    <col min="17" max="17" width="15.7109375" style="1" hidden="1" customWidth="1"/>
    <col min="18" max="18" width="15.7109375" style="1" customWidth="1"/>
    <col min="19" max="19" width="17.5703125" style="1" customWidth="1"/>
    <col min="20" max="20" width="15.7109375" style="1" bestFit="1" customWidth="1"/>
    <col min="21" max="21" width="17.5703125" style="1" customWidth="1"/>
    <col min="22" max="22" width="15.7109375" style="1" bestFit="1" customWidth="1"/>
    <col min="23" max="25" width="9.140625" style="1"/>
    <col min="26" max="26" width="14" style="1" bestFit="1" customWidth="1"/>
    <col min="27" max="27" width="11.5703125" style="1" bestFit="1" customWidth="1"/>
    <col min="28" max="16384" width="9.140625" style="1"/>
  </cols>
  <sheetData>
    <row r="1" spans="1:26" x14ac:dyDescent="0.25">
      <c r="B1" s="1" t="s">
        <v>825</v>
      </c>
      <c r="F1" s="81" t="s">
        <v>826</v>
      </c>
      <c r="G1" s="82">
        <v>7</v>
      </c>
      <c r="H1" s="10">
        <f>SUM(H5:H234)</f>
        <v>712533.26006553485</v>
      </c>
      <c r="J1" s="10">
        <f>SUM(J5:J234)</f>
        <v>1022490.04</v>
      </c>
      <c r="L1" s="10">
        <f>SUM(L5:L234)</f>
        <v>18133160.235821247</v>
      </c>
      <c r="N1" s="10">
        <f>SUM(N5:N234)</f>
        <v>-1069270.6641787495</v>
      </c>
      <c r="P1" s="10">
        <f>SUM(P5:P234)</f>
        <v>3320992.3816986894</v>
      </c>
      <c r="S1" s="10">
        <f>SUM(S5:S234)</f>
        <v>3703478.2835610402</v>
      </c>
      <c r="U1" s="10">
        <f>SUM(U5:U234)</f>
        <v>2597661.92697802</v>
      </c>
    </row>
    <row r="2" spans="1:26" x14ac:dyDescent="0.25">
      <c r="B2" s="1" t="s">
        <v>1095</v>
      </c>
      <c r="I2" s="6" t="s">
        <v>1096</v>
      </c>
      <c r="K2" s="6" t="s">
        <v>1096</v>
      </c>
      <c r="M2" s="6" t="s">
        <v>1096</v>
      </c>
      <c r="O2" s="6" t="s">
        <v>1096</v>
      </c>
      <c r="Q2" s="6" t="s">
        <v>1096</v>
      </c>
      <c r="R2" s="6"/>
      <c r="T2" s="6" t="s">
        <v>1096</v>
      </c>
      <c r="V2" s="6" t="s">
        <v>1096</v>
      </c>
    </row>
    <row r="3" spans="1:26" x14ac:dyDescent="0.25">
      <c r="D3" s="6" t="s">
        <v>1097</v>
      </c>
      <c r="E3" s="6" t="s">
        <v>1098</v>
      </c>
      <c r="F3" s="6" t="s">
        <v>1099</v>
      </c>
      <c r="G3" s="6" t="s">
        <v>1099</v>
      </c>
      <c r="H3" s="6">
        <v>2024</v>
      </c>
      <c r="I3" s="6" t="s">
        <v>1100</v>
      </c>
      <c r="J3" s="6">
        <v>2024</v>
      </c>
      <c r="K3" s="6" t="s">
        <v>42</v>
      </c>
      <c r="L3" s="6">
        <v>2025</v>
      </c>
      <c r="M3" s="6" t="s">
        <v>1101</v>
      </c>
      <c r="N3" s="6">
        <v>2025</v>
      </c>
      <c r="O3" s="6" t="s">
        <v>1102</v>
      </c>
      <c r="P3" s="6">
        <v>2026</v>
      </c>
      <c r="Q3" s="6" t="s">
        <v>1101</v>
      </c>
      <c r="R3" s="6"/>
      <c r="S3" s="6">
        <v>2026</v>
      </c>
      <c r="T3" s="6" t="s">
        <v>1193</v>
      </c>
      <c r="U3" s="6">
        <v>2027</v>
      </c>
      <c r="V3" s="6" t="s">
        <v>1193</v>
      </c>
    </row>
    <row r="4" spans="1:26" s="6" customFormat="1" x14ac:dyDescent="0.25">
      <c r="A4" s="5" t="s">
        <v>1024</v>
      </c>
      <c r="B4" s="5" t="s">
        <v>44</v>
      </c>
      <c r="C4" s="5" t="s">
        <v>879</v>
      </c>
      <c r="D4" s="5" t="s">
        <v>1103</v>
      </c>
      <c r="E4" s="5" t="s">
        <v>1104</v>
      </c>
      <c r="F4" s="83">
        <f>'Data (TB)'!B2</f>
        <v>45930</v>
      </c>
      <c r="G4" s="5" t="s">
        <v>1100</v>
      </c>
      <c r="H4" s="5" t="s">
        <v>42</v>
      </c>
      <c r="I4" s="5" t="s">
        <v>1105</v>
      </c>
      <c r="J4" s="83" t="s">
        <v>1106</v>
      </c>
      <c r="K4" s="83" t="s">
        <v>1107</v>
      </c>
      <c r="L4" s="5" t="s">
        <v>42</v>
      </c>
      <c r="M4" s="83" t="s">
        <v>1108</v>
      </c>
      <c r="N4" s="5" t="s">
        <v>1109</v>
      </c>
      <c r="O4" s="83" t="s">
        <v>1110</v>
      </c>
      <c r="P4" s="5" t="s">
        <v>1111</v>
      </c>
      <c r="Q4" s="83" t="s">
        <v>1108</v>
      </c>
      <c r="R4" s="83" t="s">
        <v>1192</v>
      </c>
      <c r="S4" s="5" t="s">
        <v>1109</v>
      </c>
      <c r="T4" s="83" t="s">
        <v>1112</v>
      </c>
      <c r="U4" s="5" t="s">
        <v>1111</v>
      </c>
      <c r="V4" s="83" t="s">
        <v>1113</v>
      </c>
      <c r="X4" s="6" t="s">
        <v>830</v>
      </c>
    </row>
    <row r="5" spans="1:26" x14ac:dyDescent="0.25">
      <c r="A5" s="1">
        <v>1</v>
      </c>
      <c r="B5" s="1" t="s">
        <v>247</v>
      </c>
      <c r="C5" s="1" t="s">
        <v>248</v>
      </c>
      <c r="D5" s="1">
        <f>_xlfn.XLOOKUP(B5,'Master Budget'!$G$4:$G$210,'Master Budget'!$D$4:$D$210,0)</f>
        <v>30</v>
      </c>
      <c r="E5" s="22"/>
      <c r="F5" s="84"/>
      <c r="G5" s="62"/>
      <c r="H5" s="62"/>
      <c r="J5" s="62"/>
      <c r="K5" s="62"/>
      <c r="X5" s="1">
        <f>MATCH(B5,'Master Budget'!$G$4:$G$360,0)</f>
        <v>48</v>
      </c>
    </row>
    <row r="6" spans="1:26" x14ac:dyDescent="0.25">
      <c r="A6" s="1">
        <v>2</v>
      </c>
      <c r="B6" s="1" t="s">
        <v>249</v>
      </c>
      <c r="C6" s="1" t="s">
        <v>250</v>
      </c>
      <c r="D6" s="1">
        <f>_xlfn.XLOOKUP(B6,'Master Budget'!$G$4:$G$210,'Master Budget'!$D$4:$D$210,0)</f>
        <v>30</v>
      </c>
      <c r="E6" s="22">
        <v>-744735.14</v>
      </c>
      <c r="F6" s="84">
        <f>SUMIFS('Data (TB)'!$E$6:$E$524,'Data (TB)'!$A$6:$A$524,'Budget Worksheet'!B6)</f>
        <v>-729867.04</v>
      </c>
      <c r="G6" s="62">
        <f t="shared" ref="G6:G38" si="0">F6/$G$1*12</f>
        <v>-1251200.6400000001</v>
      </c>
      <c r="H6" s="85">
        <v>-815780</v>
      </c>
      <c r="I6" s="86">
        <f>-H6+G6</f>
        <v>-435420.64000000013</v>
      </c>
      <c r="J6" s="85">
        <v>-815780</v>
      </c>
      <c r="K6" s="87">
        <f>ROUND(H6-J6,0)</f>
        <v>0</v>
      </c>
      <c r="L6" s="85">
        <v>-815780</v>
      </c>
      <c r="M6" s="87">
        <f>J6-L6</f>
        <v>0</v>
      </c>
      <c r="N6" s="85">
        <v>-815780</v>
      </c>
      <c r="O6" s="87">
        <f>L6-N6</f>
        <v>0</v>
      </c>
      <c r="P6" s="85">
        <v>-898000</v>
      </c>
      <c r="Q6" s="87">
        <f t="shared" ref="Q6:Q33" si="1">L6-P6</f>
        <v>82220</v>
      </c>
      <c r="R6" s="62">
        <f>_xlfn.XLOOKUP(B6,'Data (TB)'!$A$6:$A$554,'Data (TB)'!$E$6:$E$554,0)/'Data (TB)'!$C$2*12</f>
        <v>-973156.05333333334</v>
      </c>
      <c r="S6" s="62">
        <f>-SUMIFS(Dave!$G$5:$G$152,Dave!$A$5:$A$152,B6)</f>
        <v>-898000</v>
      </c>
      <c r="T6" s="87">
        <f>ABS(S6)-ABS(R6)</f>
        <v>-75156.053333333344</v>
      </c>
      <c r="U6" s="62">
        <f>-SUMIFS(Dave!$H$5:$H$152,Dave!$A$5:$A$152,B6)</f>
        <v>-933078.32</v>
      </c>
      <c r="V6" s="87">
        <f>R6-U6</f>
        <v>-40077.733333333395</v>
      </c>
      <c r="X6" s="1">
        <f>MATCH(B6,'Master Budget'!$G$4:$G$360,0)</f>
        <v>49</v>
      </c>
    </row>
    <row r="7" spans="1:26" x14ac:dyDescent="0.25">
      <c r="A7" s="1">
        <v>3</v>
      </c>
      <c r="B7" s="1" t="s">
        <v>251</v>
      </c>
      <c r="C7" s="1" t="s">
        <v>252</v>
      </c>
      <c r="D7" s="1">
        <f>_xlfn.XLOOKUP(B7,'Master Budget'!$G$4:$G$210,'Master Budget'!$D$4:$D$210,0)</f>
        <v>70</v>
      </c>
      <c r="E7" s="22">
        <v>-106607</v>
      </c>
      <c r="F7" s="84">
        <f>SUMIFS('Data (TB)'!$E$6:$E$524,'Data (TB)'!$A$6:$A$524,'Budget Worksheet'!B7)</f>
        <v>-3449</v>
      </c>
      <c r="G7" s="62">
        <f t="shared" si="0"/>
        <v>-5912.5714285714284</v>
      </c>
      <c r="H7" s="85">
        <v>-20000</v>
      </c>
      <c r="I7" s="86">
        <f t="shared" ref="I7:I72" si="2">-H7+G7</f>
        <v>14087.428571428572</v>
      </c>
      <c r="J7" s="85">
        <v>-107000</v>
      </c>
      <c r="K7" s="87">
        <f t="shared" ref="K7:K72" si="3">ROUND(H7-J7,0)</f>
        <v>87000</v>
      </c>
      <c r="L7" s="85">
        <v>-107000</v>
      </c>
      <c r="M7" s="87">
        <f t="shared" ref="M7:O72" si="4">J7-L7</f>
        <v>0</v>
      </c>
      <c r="N7" s="85">
        <v>-107000</v>
      </c>
      <c r="O7" s="87">
        <f t="shared" si="4"/>
        <v>0</v>
      </c>
      <c r="P7" s="85">
        <v>-100000</v>
      </c>
      <c r="Q7" s="87">
        <f t="shared" si="1"/>
        <v>-7000</v>
      </c>
      <c r="R7" s="62">
        <f>_xlfn.XLOOKUP(B7,'Data (TB)'!$A$6:$A$554,'Data (TB)'!$E$6:$E$554,0)/'Data (TB)'!$C$2*12</f>
        <v>-4598.666666666667</v>
      </c>
      <c r="S7" s="62">
        <f>-SUMIFS(Dave!$G$5:$G$152,Dave!$A$5:$A$152,B7)</f>
        <v>-100000</v>
      </c>
      <c r="T7" s="87">
        <f t="shared" ref="T7:T70" si="5">ABS(S7)-ABS(R7)</f>
        <v>95401.333333333328</v>
      </c>
      <c r="U7" s="62">
        <f>-SUMIFS(Dave!$H$5:$H$152,Dave!$A$5:$A$152,B7)</f>
        <v>-55250</v>
      </c>
      <c r="V7" s="87">
        <f t="shared" ref="V7:V70" si="6">R7-U7</f>
        <v>50651.333333333336</v>
      </c>
      <c r="X7" s="1">
        <f>MATCH(B7,'Master Budget'!$G$4:$G$360,0)</f>
        <v>50</v>
      </c>
      <c r="Z7" s="162"/>
    </row>
    <row r="8" spans="1:26" x14ac:dyDescent="0.25">
      <c r="A8" s="1">
        <v>4</v>
      </c>
      <c r="B8" s="1" t="s">
        <v>253</v>
      </c>
      <c r="C8" s="1" t="s">
        <v>254</v>
      </c>
      <c r="D8" s="1">
        <f>_xlfn.XLOOKUP(B8,'Master Budget'!$G$4:$G$210,'Master Budget'!$D$4:$D$210,0)</f>
        <v>30</v>
      </c>
      <c r="E8" s="22">
        <v>-131321.29</v>
      </c>
      <c r="F8" s="84">
        <f>SUMIFS('Data (TB)'!$E$6:$E$524,'Data (TB)'!$A$6:$A$524,'Budget Worksheet'!B8)</f>
        <v>-64465.95</v>
      </c>
      <c r="G8" s="62">
        <f t="shared" si="0"/>
        <v>-110513.05714285714</v>
      </c>
      <c r="H8" s="85">
        <v>-135000</v>
      </c>
      <c r="I8" s="86">
        <f t="shared" si="2"/>
        <v>24486.942857142858</v>
      </c>
      <c r="J8" s="85">
        <v>-135000</v>
      </c>
      <c r="K8" s="87">
        <f t="shared" si="3"/>
        <v>0</v>
      </c>
      <c r="L8" s="85">
        <v>-135000</v>
      </c>
      <c r="M8" s="87">
        <f t="shared" si="4"/>
        <v>0</v>
      </c>
      <c r="N8" s="85">
        <v>-135000</v>
      </c>
      <c r="O8" s="87">
        <f t="shared" si="4"/>
        <v>0</v>
      </c>
      <c r="P8" s="85">
        <v>-140000</v>
      </c>
      <c r="Q8" s="87">
        <f t="shared" si="1"/>
        <v>5000</v>
      </c>
      <c r="R8" s="62">
        <f>_xlfn.XLOOKUP(B8,'Data (TB)'!$A$6:$A$554,'Data (TB)'!$E$6:$E$554,0)/'Data (TB)'!$C$2*12</f>
        <v>-85954.6</v>
      </c>
      <c r="S8" s="62">
        <f>-SUMIFS(Dave!$G$5:$G$152,Dave!$A$5:$A$152,B8)</f>
        <v>-140000</v>
      </c>
      <c r="T8" s="87">
        <f t="shared" si="5"/>
        <v>54045.399999999994</v>
      </c>
      <c r="U8" s="62">
        <f>-SUMIFS(Dave!$H$5:$H$152,Dave!$A$5:$A$152,B8)</f>
        <v>-156000</v>
      </c>
      <c r="V8" s="87">
        <f t="shared" si="6"/>
        <v>70045.399999999994</v>
      </c>
      <c r="X8" s="1">
        <f>MATCH(B8,'Master Budget'!$G$4:$G$360,0)</f>
        <v>51</v>
      </c>
    </row>
    <row r="9" spans="1:26" x14ac:dyDescent="0.25">
      <c r="A9" s="1">
        <v>5</v>
      </c>
      <c r="B9" s="1" t="s">
        <v>255</v>
      </c>
      <c r="C9" s="1" t="s">
        <v>256</v>
      </c>
      <c r="D9" s="1">
        <f>_xlfn.XLOOKUP(B9,'Master Budget'!$G$4:$G$210,'Master Budget'!$D$4:$D$210,0)</f>
        <v>960</v>
      </c>
      <c r="E9" s="22">
        <v>-10076.01</v>
      </c>
      <c r="F9" s="84">
        <f>SUMIFS('Data (TB)'!$E$6:$E$524,'Data (TB)'!$A$6:$A$524,'Budget Worksheet'!B9)</f>
        <v>-3247.73</v>
      </c>
      <c r="G9" s="62">
        <f t="shared" si="0"/>
        <v>-5567.5371428571434</v>
      </c>
      <c r="H9" s="85">
        <v>-14000</v>
      </c>
      <c r="I9" s="86">
        <f t="shared" si="2"/>
        <v>8432.4628571428566</v>
      </c>
      <c r="J9" s="85">
        <v>-14000</v>
      </c>
      <c r="K9" s="87">
        <f t="shared" si="3"/>
        <v>0</v>
      </c>
      <c r="L9" s="85">
        <v>-14000</v>
      </c>
      <c r="M9" s="87">
        <f t="shared" si="4"/>
        <v>0</v>
      </c>
      <c r="N9" s="85">
        <v>-14000</v>
      </c>
      <c r="O9" s="87">
        <f t="shared" si="4"/>
        <v>0</v>
      </c>
      <c r="P9" s="85">
        <v>-14000</v>
      </c>
      <c r="Q9" s="87">
        <f t="shared" si="1"/>
        <v>0</v>
      </c>
      <c r="R9" s="62">
        <f>_xlfn.XLOOKUP(B9,'Data (TB)'!$A$6:$A$554,'Data (TB)'!$E$6:$E$554,0)/'Data (TB)'!$C$2*12</f>
        <v>-4330.3066666666664</v>
      </c>
      <c r="S9" s="62">
        <f>-SUMIFS(Dave!$G$5:$G$152,Dave!$A$5:$A$152,B9)</f>
        <v>-14000</v>
      </c>
      <c r="T9" s="87">
        <f t="shared" si="5"/>
        <v>9669.6933333333327</v>
      </c>
      <c r="U9" s="62">
        <f>-SUMIFS(Dave!$H$5:$H$152,Dave!$A$5:$A$152,B9)</f>
        <v>-9000</v>
      </c>
      <c r="V9" s="87">
        <f t="shared" si="6"/>
        <v>4669.6933333333336</v>
      </c>
      <c r="X9" s="1">
        <f>MATCH(B9,'Master Budget'!$G$4:$G$360,0)</f>
        <v>52</v>
      </c>
      <c r="Z9" s="162"/>
    </row>
    <row r="10" spans="1:26" x14ac:dyDescent="0.25">
      <c r="A10" s="1">
        <v>6</v>
      </c>
      <c r="B10" s="1" t="s">
        <v>257</v>
      </c>
      <c r="C10" s="1" t="s">
        <v>99</v>
      </c>
      <c r="D10" s="1">
        <f>_xlfn.XLOOKUP(B10,'Master Budget'!$G$4:$G$210,'Master Budget'!$D$4:$D$210,0)</f>
        <v>40</v>
      </c>
      <c r="E10" s="22">
        <v>-3143.5</v>
      </c>
      <c r="F10" s="84">
        <f>SUMIFS('Data (TB)'!$E$6:$E$524,'Data (TB)'!$A$6:$A$524,'Budget Worksheet'!B10)</f>
        <v>0</v>
      </c>
      <c r="G10" s="62">
        <f t="shared" si="0"/>
        <v>0</v>
      </c>
      <c r="H10" s="85">
        <v>-1000</v>
      </c>
      <c r="I10" s="86">
        <f t="shared" si="2"/>
        <v>1000</v>
      </c>
      <c r="J10" s="85">
        <v>-1300</v>
      </c>
      <c r="K10" s="87">
        <f t="shared" si="3"/>
        <v>300</v>
      </c>
      <c r="L10" s="85">
        <v>-1300</v>
      </c>
      <c r="M10" s="87">
        <f t="shared" si="4"/>
        <v>0</v>
      </c>
      <c r="N10" s="85">
        <v>-1300</v>
      </c>
      <c r="O10" s="87">
        <f t="shared" si="4"/>
        <v>0</v>
      </c>
      <c r="P10" s="85">
        <v>-1300</v>
      </c>
      <c r="Q10" s="87">
        <f t="shared" si="1"/>
        <v>0</v>
      </c>
      <c r="R10" s="62">
        <f>_xlfn.XLOOKUP(B10,'Data (TB)'!$A$6:$A$554,'Data (TB)'!$E$6:$E$554,0)/'Data (TB)'!$C$2*12</f>
        <v>0</v>
      </c>
      <c r="S10" s="62">
        <f>-SUMIFS(Dave!$G$5:$G$152,Dave!$A$5:$A$152,B10)</f>
        <v>-1300</v>
      </c>
      <c r="T10" s="87">
        <f t="shared" si="5"/>
        <v>1300</v>
      </c>
      <c r="U10" s="62">
        <f>-SUMIFS(Dave!$H$5:$H$152,Dave!$A$5:$A$152,B10)</f>
        <v>-1300</v>
      </c>
      <c r="V10" s="87">
        <f t="shared" si="6"/>
        <v>1300</v>
      </c>
      <c r="X10" s="1">
        <f>MATCH(B10,'Master Budget'!$G$4:$G$360,0)</f>
        <v>53</v>
      </c>
      <c r="Z10" s="162"/>
    </row>
    <row r="11" spans="1:26" x14ac:dyDescent="0.25">
      <c r="A11" s="1">
        <v>7</v>
      </c>
      <c r="B11" s="1" t="s">
        <v>258</v>
      </c>
      <c r="C11" s="1" t="s">
        <v>259</v>
      </c>
      <c r="D11" s="1">
        <f>_xlfn.XLOOKUP(B11,'Master Budget'!$G$4:$G$210,'Master Budget'!$D$4:$D$210,0)</f>
        <v>950</v>
      </c>
      <c r="E11" s="22">
        <v>-87846.42</v>
      </c>
      <c r="F11" s="84">
        <f>SUMIFS('Data (TB)'!$E$6:$E$524,'Data (TB)'!$A$6:$A$524,'Budget Worksheet'!B11)</f>
        <v>-6902.11</v>
      </c>
      <c r="G11" s="62">
        <f t="shared" si="0"/>
        <v>-11832.188571428571</v>
      </c>
      <c r="H11" s="85">
        <v>-85000</v>
      </c>
      <c r="I11" s="86">
        <f t="shared" si="2"/>
        <v>73167.811428571425</v>
      </c>
      <c r="J11" s="85">
        <v>-85000</v>
      </c>
      <c r="K11" s="87">
        <f t="shared" si="3"/>
        <v>0</v>
      </c>
      <c r="L11" s="85">
        <v>-85000</v>
      </c>
      <c r="M11" s="87">
        <f t="shared" si="4"/>
        <v>0</v>
      </c>
      <c r="N11" s="85">
        <v>-85000</v>
      </c>
      <c r="O11" s="87">
        <f t="shared" si="4"/>
        <v>0</v>
      </c>
      <c r="P11" s="85">
        <v>-85000</v>
      </c>
      <c r="Q11" s="87">
        <f t="shared" si="1"/>
        <v>0</v>
      </c>
      <c r="R11" s="62">
        <f>_xlfn.XLOOKUP(B11,'Data (TB)'!$A$6:$A$554,'Data (TB)'!$E$6:$E$554,0)/'Data (TB)'!$C$2*12</f>
        <v>-9202.8133333333317</v>
      </c>
      <c r="S11" s="62">
        <f>-SUMIFS(Dave!$G$5:$G$152,Dave!$A$5:$A$152,B11)</f>
        <v>-85000</v>
      </c>
      <c r="T11" s="87">
        <f t="shared" si="5"/>
        <v>75797.186666666676</v>
      </c>
      <c r="U11" s="62">
        <f>-SUMIFS(Dave!$H$5:$H$152,Dave!$A$5:$A$152,B11)</f>
        <v>-85000</v>
      </c>
      <c r="V11" s="87">
        <f t="shared" si="6"/>
        <v>75797.186666666676</v>
      </c>
      <c r="X11" s="1">
        <f>MATCH(B11,'Master Budget'!$G$4:$G$360,0)</f>
        <v>54</v>
      </c>
      <c r="Z11" s="162"/>
    </row>
    <row r="12" spans="1:26" x14ac:dyDescent="0.25">
      <c r="A12" s="1">
        <v>8</v>
      </c>
      <c r="B12" s="1" t="s">
        <v>260</v>
      </c>
      <c r="C12" s="1" t="s">
        <v>261</v>
      </c>
      <c r="D12" s="1">
        <f>_xlfn.XLOOKUP(B12,'Master Budget'!$G$4:$G$210,'Master Budget'!$D$4:$D$210,0)</f>
        <v>960</v>
      </c>
      <c r="E12" s="22">
        <v>-7510</v>
      </c>
      <c r="F12" s="84">
        <f>SUMIFS('Data (TB)'!$E$6:$E$524,'Data (TB)'!$A$6:$A$524,'Budget Worksheet'!B12)</f>
        <v>-25238.14</v>
      </c>
      <c r="G12" s="62">
        <f t="shared" si="0"/>
        <v>-43265.38285714286</v>
      </c>
      <c r="H12" s="85">
        <v>-5000</v>
      </c>
      <c r="I12" s="86">
        <f t="shared" si="2"/>
        <v>-38265.38285714286</v>
      </c>
      <c r="J12" s="85">
        <v>-25000</v>
      </c>
      <c r="K12" s="87">
        <f t="shared" si="3"/>
        <v>20000</v>
      </c>
      <c r="L12" s="85">
        <v>-25000</v>
      </c>
      <c r="M12" s="87">
        <f t="shared" si="4"/>
        <v>0</v>
      </c>
      <c r="N12" s="85">
        <v>-25000</v>
      </c>
      <c r="O12" s="87">
        <f t="shared" si="4"/>
        <v>0</v>
      </c>
      <c r="P12" s="85">
        <v>-25000</v>
      </c>
      <c r="Q12" s="87">
        <f t="shared" si="1"/>
        <v>0</v>
      </c>
      <c r="R12" s="62">
        <f>_xlfn.XLOOKUP(B12,'Data (TB)'!$A$6:$A$554,'Data (TB)'!$E$6:$E$554,0)/'Data (TB)'!$C$2*12</f>
        <v>-33650.853333333333</v>
      </c>
      <c r="S12" s="62">
        <f>-SUMIFS(Dave!$G$5:$G$152,Dave!$A$5:$A$152,B12)</f>
        <v>-25000</v>
      </c>
      <c r="T12" s="87">
        <f t="shared" si="5"/>
        <v>-8650.8533333333326</v>
      </c>
      <c r="U12" s="62">
        <f>-SUMIFS(Dave!$H$5:$H$152,Dave!$A$5:$A$152,B12)</f>
        <v>-31000</v>
      </c>
      <c r="V12" s="87">
        <f t="shared" si="6"/>
        <v>-2650.8533333333326</v>
      </c>
      <c r="X12" s="1">
        <f>MATCH(B12,'Master Budget'!$G$4:$G$360,0)</f>
        <v>55</v>
      </c>
      <c r="Z12" s="162"/>
    </row>
    <row r="13" spans="1:26" x14ac:dyDescent="0.25">
      <c r="A13" s="1">
        <v>9</v>
      </c>
      <c r="B13" s="1" t="s">
        <v>262</v>
      </c>
      <c r="C13" s="1" t="s">
        <v>263</v>
      </c>
      <c r="D13" s="1">
        <f>_xlfn.XLOOKUP(B13,'Master Budget'!$G$4:$G$210,'Master Budget'!$D$4:$D$210,0)</f>
        <v>60</v>
      </c>
      <c r="E13" s="22">
        <v>-22306.5</v>
      </c>
      <c r="F13" s="84">
        <f>SUMIFS('Data (TB)'!$E$6:$E$524,'Data (TB)'!$A$6:$A$524,'Budget Worksheet'!B13)</f>
        <v>-12514.72</v>
      </c>
      <c r="G13" s="62">
        <f t="shared" si="0"/>
        <v>-21453.805714285714</v>
      </c>
      <c r="H13" s="85">
        <v>-15000</v>
      </c>
      <c r="I13" s="86">
        <f t="shared" si="2"/>
        <v>-6453.8057142857142</v>
      </c>
      <c r="J13" s="85">
        <v>-15000</v>
      </c>
      <c r="K13" s="87">
        <f t="shared" si="3"/>
        <v>0</v>
      </c>
      <c r="L13" s="85">
        <v>-15000</v>
      </c>
      <c r="M13" s="87">
        <f t="shared" si="4"/>
        <v>0</v>
      </c>
      <c r="N13" s="85">
        <v>-15000</v>
      </c>
      <c r="O13" s="87">
        <f t="shared" si="4"/>
        <v>0</v>
      </c>
      <c r="P13" s="85">
        <v>-15000</v>
      </c>
      <c r="Q13" s="87">
        <f t="shared" si="1"/>
        <v>0</v>
      </c>
      <c r="R13" s="62">
        <f>_xlfn.XLOOKUP(B13,'Data (TB)'!$A$6:$A$554,'Data (TB)'!$E$6:$E$554,0)/'Data (TB)'!$C$2*12</f>
        <v>-16686.293333333331</v>
      </c>
      <c r="S13" s="62">
        <f>-SUMIFS(Dave!$G$5:$G$152,Dave!$A$5:$A$152,B13)</f>
        <v>-15000</v>
      </c>
      <c r="T13" s="87">
        <f t="shared" si="5"/>
        <v>-1686.2933333333312</v>
      </c>
      <c r="U13" s="62">
        <f>-SUMIFS(Dave!$H$5:$H$152,Dave!$A$5:$A$152,B13)</f>
        <v>-15000</v>
      </c>
      <c r="V13" s="87">
        <f t="shared" si="6"/>
        <v>-1686.2933333333312</v>
      </c>
      <c r="X13" s="1">
        <f>MATCH(B13,'Master Budget'!$G$4:$G$360,0)</f>
        <v>56</v>
      </c>
      <c r="Z13" s="162"/>
    </row>
    <row r="14" spans="1:26" x14ac:dyDescent="0.25">
      <c r="A14" s="1">
        <v>10</v>
      </c>
      <c r="B14" s="1" t="s">
        <v>264</v>
      </c>
      <c r="C14" s="1" t="s">
        <v>265</v>
      </c>
      <c r="D14" s="1">
        <f>_xlfn.XLOOKUP(B14,'Master Budget'!$G$4:$G$210,'Master Budget'!$D$4:$D$210,0)</f>
        <v>30</v>
      </c>
      <c r="E14" s="22">
        <v>-57514.03</v>
      </c>
      <c r="F14" s="84">
        <f>SUMIFS('Data (TB)'!$E$6:$E$524,'Data (TB)'!$A$6:$A$524,'Budget Worksheet'!B14)</f>
        <v>-88636.21</v>
      </c>
      <c r="G14" s="62">
        <f t="shared" si="0"/>
        <v>-151947.78857142857</v>
      </c>
      <c r="H14" s="85">
        <v>-80000</v>
      </c>
      <c r="I14" s="86">
        <f t="shared" si="2"/>
        <v>-71947.788571428566</v>
      </c>
      <c r="J14" s="85">
        <v>-80000</v>
      </c>
      <c r="K14" s="87">
        <f t="shared" si="3"/>
        <v>0</v>
      </c>
      <c r="L14" s="85">
        <v>-80000</v>
      </c>
      <c r="M14" s="87">
        <f t="shared" si="4"/>
        <v>0</v>
      </c>
      <c r="N14" s="85">
        <v>-80000</v>
      </c>
      <c r="O14" s="87">
        <f t="shared" si="4"/>
        <v>0</v>
      </c>
      <c r="P14" s="85">
        <v>-80000</v>
      </c>
      <c r="Q14" s="87">
        <f t="shared" si="1"/>
        <v>0</v>
      </c>
      <c r="R14" s="62">
        <f>_xlfn.XLOOKUP(B14,'Data (TB)'!$A$6:$A$554,'Data (TB)'!$E$6:$E$554,0)/'Data (TB)'!$C$2*12</f>
        <v>-118181.61333333334</v>
      </c>
      <c r="S14" s="62">
        <f>-SUMIFS(Dave!$G$5:$G$152,Dave!$A$5:$A$152,B14)</f>
        <v>-88000</v>
      </c>
      <c r="T14" s="87">
        <f t="shared" si="5"/>
        <v>-30181.613333333342</v>
      </c>
      <c r="U14" s="62">
        <f>-SUMIFS(Dave!$H$5:$H$152,Dave!$A$5:$A$152,B14)</f>
        <v>-100000</v>
      </c>
      <c r="V14" s="87">
        <f t="shared" si="6"/>
        <v>-18181.613333333342</v>
      </c>
      <c r="X14" s="1">
        <f>MATCH(B14,'Master Budget'!$G$4:$G$360,0)</f>
        <v>57</v>
      </c>
      <c r="Z14" s="162"/>
    </row>
    <row r="15" spans="1:26" x14ac:dyDescent="0.25">
      <c r="A15" s="78">
        <v>12</v>
      </c>
      <c r="B15" s="78" t="s">
        <v>268</v>
      </c>
      <c r="C15" s="78" t="s">
        <v>101</v>
      </c>
      <c r="D15" s="78">
        <f>_xlfn.XLOOKUP(B15,'Master Budget'!$G$4:$G$210,'Master Budget'!$D$4:$D$210,0)</f>
        <v>100</v>
      </c>
      <c r="E15" s="134">
        <v>481209.98</v>
      </c>
      <c r="F15" s="135">
        <f>SUMIFS('Data (TB)'!$E$6:$E$524,'Data (TB)'!$A$6:$A$524,'Budget Worksheet'!B15)</f>
        <v>581541.52</v>
      </c>
      <c r="G15" s="79">
        <f t="shared" si="0"/>
        <v>996928.32000000007</v>
      </c>
      <c r="H15" s="136">
        <v>652549.8666666667</v>
      </c>
      <c r="I15" s="137">
        <f t="shared" si="2"/>
        <v>344378.45333333337</v>
      </c>
      <c r="J15" s="136">
        <v>652549.87</v>
      </c>
      <c r="K15" s="138">
        <f t="shared" si="3"/>
        <v>0</v>
      </c>
      <c r="L15" s="136">
        <v>746500</v>
      </c>
      <c r="M15" s="138">
        <f t="shared" si="4"/>
        <v>-93950.13</v>
      </c>
      <c r="N15" s="136">
        <v>652549.87</v>
      </c>
      <c r="O15" s="138">
        <f t="shared" si="4"/>
        <v>93950.13</v>
      </c>
      <c r="P15" s="136">
        <v>821625</v>
      </c>
      <c r="Q15" s="138">
        <f t="shared" si="1"/>
        <v>-75125</v>
      </c>
      <c r="R15" s="62">
        <f>_xlfn.XLOOKUP(B15,'Data (TB)'!$A$6:$A$554,'Data (TB)'!$E$6:$E$554,0)/'Data (TB)'!$C$2*12</f>
        <v>775388.69333333336</v>
      </c>
      <c r="S15" s="79">
        <f>SUMIFS(Dave!$G$5:$G$152,Dave!$A$5:$A$152,B15)</f>
        <v>821625</v>
      </c>
      <c r="T15" s="87">
        <f t="shared" si="5"/>
        <v>46236.306666666642</v>
      </c>
      <c r="U15" s="79">
        <f>SUMIFS(Dave!$H$5:$H$152,Dave!$A$5:$A$152,B15)</f>
        <v>752263.28600000008</v>
      </c>
      <c r="V15" s="138">
        <f t="shared" si="6"/>
        <v>23125.407333333278</v>
      </c>
      <c r="X15" s="1">
        <f>MATCH(B15,'Master Budget'!$G$4:$G$360,0)</f>
        <v>59</v>
      </c>
      <c r="Z15" s="162"/>
    </row>
    <row r="16" spans="1:26" x14ac:dyDescent="0.25">
      <c r="A16" s="1">
        <v>13</v>
      </c>
      <c r="B16" s="1" t="s">
        <v>269</v>
      </c>
      <c r="C16" s="1" t="s">
        <v>104</v>
      </c>
      <c r="D16" s="1">
        <f>_xlfn.XLOOKUP(B16,'Master Budget'!$G$4:$G$210,'Master Budget'!$D$4:$D$210,0)</f>
        <v>100</v>
      </c>
      <c r="E16" s="22">
        <v>45534.79</v>
      </c>
      <c r="F16" s="84">
        <f>SUMIFS('Data (TB)'!$E$6:$E$524,'Data (TB)'!$A$6:$A$524,'Budget Worksheet'!B16)</f>
        <v>44878.22</v>
      </c>
      <c r="G16" s="62">
        <f t="shared" si="0"/>
        <v>76934.091428571439</v>
      </c>
      <c r="H16" s="85">
        <v>49920.0648</v>
      </c>
      <c r="I16" s="86">
        <f t="shared" si="2"/>
        <v>27014.026628571439</v>
      </c>
      <c r="J16" s="85">
        <v>49920.06</v>
      </c>
      <c r="K16" s="87">
        <f t="shared" si="3"/>
        <v>0</v>
      </c>
      <c r="L16" s="85">
        <v>57107.25</v>
      </c>
      <c r="M16" s="87">
        <f t="shared" si="4"/>
        <v>-7187.1900000000023</v>
      </c>
      <c r="N16" s="85">
        <v>49920.06</v>
      </c>
      <c r="O16" s="87">
        <f t="shared" si="4"/>
        <v>7187.1900000000023</v>
      </c>
      <c r="P16" s="85">
        <v>62854.312500000007</v>
      </c>
      <c r="Q16" s="87">
        <f t="shared" si="1"/>
        <v>-5747.0625000000073</v>
      </c>
      <c r="R16" s="62">
        <f>_xlfn.XLOOKUP(B16,'Data (TB)'!$A$6:$A$554,'Data (TB)'!$E$6:$E$554,0)/'Data (TB)'!$C$2*12</f>
        <v>59837.626666666663</v>
      </c>
      <c r="S16" s="62">
        <f>SUMIFS(Dave!$G$5:$G$152,Dave!$A$5:$A$152,B16)</f>
        <v>62854.31</v>
      </c>
      <c r="T16" s="87">
        <f t="shared" si="5"/>
        <v>3016.6833333333343</v>
      </c>
      <c r="U16" s="62">
        <f>SUMIFS(Dave!$H$5:$H$152,Dave!$A$5:$A$152,B16)</f>
        <v>57548.141378999993</v>
      </c>
      <c r="V16" s="87">
        <f t="shared" si="6"/>
        <v>2289.48528766667</v>
      </c>
      <c r="X16" s="1">
        <f>MATCH(B16,'Master Budget'!$G$4:$G$360,0)</f>
        <v>60</v>
      </c>
    </row>
    <row r="17" spans="1:26" x14ac:dyDescent="0.25">
      <c r="A17" s="1">
        <v>14</v>
      </c>
      <c r="B17" s="1" t="s">
        <v>270</v>
      </c>
      <c r="C17" s="1" t="s">
        <v>106</v>
      </c>
      <c r="D17" s="1">
        <f>_xlfn.XLOOKUP(B17,'Master Budget'!$G$4:$G$210,'Master Budget'!$D$4:$D$210,0)</f>
        <v>100</v>
      </c>
      <c r="E17" s="22">
        <v>3811.44</v>
      </c>
      <c r="F17" s="84">
        <f>SUMIFS('Data (TB)'!$E$6:$E$524,'Data (TB)'!$A$6:$A$524,'Budget Worksheet'!B17)</f>
        <v>116958.44</v>
      </c>
      <c r="G17" s="62">
        <f t="shared" si="0"/>
        <v>200500.18285714285</v>
      </c>
      <c r="H17" s="85">
        <v>101623.32</v>
      </c>
      <c r="I17" s="86">
        <f t="shared" si="2"/>
        <v>98876.862857142842</v>
      </c>
      <c r="J17" s="85">
        <v>101623.32</v>
      </c>
      <c r="K17" s="87">
        <f t="shared" si="3"/>
        <v>0</v>
      </c>
      <c r="L17" s="85">
        <v>112500</v>
      </c>
      <c r="M17" s="87">
        <f t="shared" si="4"/>
        <v>-10876.679999999993</v>
      </c>
      <c r="N17" s="85">
        <v>154731.20000000001</v>
      </c>
      <c r="O17" s="87">
        <f t="shared" si="4"/>
        <v>-42231.200000000012</v>
      </c>
      <c r="P17" s="85">
        <v>125685</v>
      </c>
      <c r="Q17" s="87">
        <f t="shared" si="1"/>
        <v>-13185</v>
      </c>
      <c r="R17" s="62">
        <f>_xlfn.XLOOKUP(B17,'Data (TB)'!$A$6:$A$554,'Data (TB)'!$E$6:$E$554,0)/'Data (TB)'!$C$2*12</f>
        <v>155944.58666666667</v>
      </c>
      <c r="S17" s="62">
        <f>SUMIFS(Dave!$G$5:$G$152,Dave!$A$5:$A$152,B17)</f>
        <v>157685</v>
      </c>
      <c r="T17" s="87">
        <f t="shared" si="5"/>
        <v>1740.4133333333302</v>
      </c>
      <c r="U17" s="62">
        <f>SUMIFS(Dave!$H$5:$H$152,Dave!$A$5:$A$152,B17)</f>
        <v>98664.842199999999</v>
      </c>
      <c r="V17" s="87">
        <f t="shared" si="6"/>
        <v>57279.744466666671</v>
      </c>
      <c r="X17" s="1">
        <f>MATCH(B17,'Master Budget'!$G$4:$G$360,0)</f>
        <v>61</v>
      </c>
    </row>
    <row r="18" spans="1:26" x14ac:dyDescent="0.25">
      <c r="A18" s="1">
        <v>15</v>
      </c>
      <c r="B18" s="1" t="s">
        <v>271</v>
      </c>
      <c r="C18" s="1" t="s">
        <v>108</v>
      </c>
      <c r="D18" s="1">
        <f>_xlfn.XLOOKUP(B18,'Master Budget'!$G$4:$G$210,'Master Budget'!$D$4:$D$210,0)</f>
        <v>100</v>
      </c>
      <c r="E18" s="22">
        <v>71725.100000000006</v>
      </c>
      <c r="F18" s="84">
        <f>SUMIFS('Data (TB)'!$E$6:$E$524,'Data (TB)'!$A$6:$A$524,'Budget Worksheet'!B18)</f>
        <v>103997.06</v>
      </c>
      <c r="G18" s="62">
        <f t="shared" si="0"/>
        <v>178280.67428571428</v>
      </c>
      <c r="H18" s="85">
        <v>178874.60622222224</v>
      </c>
      <c r="I18" s="86">
        <f t="shared" si="2"/>
        <v>-593.93193650795729</v>
      </c>
      <c r="J18" s="85">
        <v>178874.61</v>
      </c>
      <c r="K18" s="87">
        <f t="shared" si="3"/>
        <v>0</v>
      </c>
      <c r="L18" s="85">
        <v>236063.5</v>
      </c>
      <c r="M18" s="87">
        <f t="shared" si="4"/>
        <v>-57188.890000000014</v>
      </c>
      <c r="N18" s="85">
        <v>178874.61</v>
      </c>
      <c r="O18" s="87">
        <f t="shared" si="4"/>
        <v>57188.890000000014</v>
      </c>
      <c r="P18" s="85">
        <v>277457.47499999998</v>
      </c>
      <c r="Q18" s="87">
        <f t="shared" si="1"/>
        <v>-41393.974999999977</v>
      </c>
      <c r="R18" s="62">
        <f>_xlfn.XLOOKUP(B18,'Data (TB)'!$A$6:$A$554,'Data (TB)'!$E$6:$E$554,0)/'Data (TB)'!$C$2*12</f>
        <v>138662.74666666667</v>
      </c>
      <c r="S18" s="62">
        <f>SUMIFS(Dave!$G$5:$G$152,Dave!$A$5:$A$152,B18)</f>
        <v>277457.48</v>
      </c>
      <c r="T18" s="87">
        <f t="shared" si="5"/>
        <v>138794.73333333331</v>
      </c>
      <c r="U18" s="62">
        <f>SUMIFS(Dave!$H$5:$H$152,Dave!$A$5:$A$152,B18)</f>
        <v>183789.54084</v>
      </c>
      <c r="V18" s="87">
        <f t="shared" si="6"/>
        <v>-45126.794173333328</v>
      </c>
      <c r="X18" s="1">
        <f>MATCH(B18,'Master Budget'!$G$4:$G$360,0)</f>
        <v>62</v>
      </c>
      <c r="Z18" s="162"/>
    </row>
    <row r="19" spans="1:26" x14ac:dyDescent="0.25">
      <c r="A19" s="1">
        <v>16</v>
      </c>
      <c r="B19" s="1" t="s">
        <v>272</v>
      </c>
      <c r="C19" s="1" t="s">
        <v>110</v>
      </c>
      <c r="D19" s="1">
        <f>_xlfn.XLOOKUP(B19,'Master Budget'!$G$4:$G$210,'Master Budget'!$D$4:$D$210,0)</f>
        <v>100</v>
      </c>
      <c r="E19" s="22">
        <v>18885.330000000002</v>
      </c>
      <c r="F19" s="84">
        <f>SUMIFS('Data (TB)'!$E$6:$E$524,'Data (TB)'!$A$6:$A$524,'Budget Worksheet'!B19)</f>
        <v>8700.5499999999993</v>
      </c>
      <c r="G19" s="62">
        <f t="shared" si="0"/>
        <v>14915.228571428568</v>
      </c>
      <c r="H19" s="85">
        <v>17162.061493333335</v>
      </c>
      <c r="I19" s="86">
        <f t="shared" si="2"/>
        <v>-2246.8329219047664</v>
      </c>
      <c r="J19" s="85">
        <v>17162.060000000001</v>
      </c>
      <c r="K19" s="87">
        <f t="shared" si="3"/>
        <v>0</v>
      </c>
      <c r="L19" s="85">
        <v>14930</v>
      </c>
      <c r="M19" s="87">
        <f t="shared" si="4"/>
        <v>2232.0600000000013</v>
      </c>
      <c r="N19" s="85">
        <v>17162.060000000001</v>
      </c>
      <c r="O19" s="87">
        <f t="shared" si="4"/>
        <v>-2232.0600000000013</v>
      </c>
      <c r="P19" s="85">
        <v>16432.5</v>
      </c>
      <c r="Q19" s="87">
        <f t="shared" si="1"/>
        <v>-1502.5</v>
      </c>
      <c r="R19" s="62">
        <f>_xlfn.XLOOKUP(B19,'Data (TB)'!$A$6:$A$554,'Data (TB)'!$E$6:$E$554,0)/'Data (TB)'!$C$2*12</f>
        <v>11600.733333333332</v>
      </c>
      <c r="S19" s="62">
        <f>SUMIFS(Dave!$G$5:$G$152,Dave!$A$5:$A$152,B19)</f>
        <v>16432.5</v>
      </c>
      <c r="T19" s="87">
        <f t="shared" si="5"/>
        <v>4831.7666666666682</v>
      </c>
      <c r="U19" s="62">
        <f>SUMIFS(Dave!$H$5:$H$152,Dave!$A$5:$A$152,B19)</f>
        <v>15045.265719999999</v>
      </c>
      <c r="V19" s="87">
        <f t="shared" si="6"/>
        <v>-3444.5323866666677</v>
      </c>
      <c r="X19" s="1">
        <f>MATCH(B19,'Master Budget'!$G$4:$G$360,0)</f>
        <v>63</v>
      </c>
    </row>
    <row r="20" spans="1:26" x14ac:dyDescent="0.25">
      <c r="A20" s="1">
        <v>17</v>
      </c>
      <c r="B20" s="1" t="s">
        <v>273</v>
      </c>
      <c r="C20" s="1" t="s">
        <v>112</v>
      </c>
      <c r="D20" s="1">
        <f>_xlfn.XLOOKUP(B20,'Master Budget'!$G$4:$G$210,'Master Budget'!$D$4:$D$210,0)</f>
        <v>100</v>
      </c>
      <c r="E20" s="22">
        <v>12000.94</v>
      </c>
      <c r="F20" s="84">
        <f>SUMIFS('Data (TB)'!$E$6:$E$524,'Data (TB)'!$A$6:$A$524,'Budget Worksheet'!B20)</f>
        <v>10668.49</v>
      </c>
      <c r="G20" s="62">
        <f t="shared" si="0"/>
        <v>18288.84</v>
      </c>
      <c r="H20" s="85">
        <v>0</v>
      </c>
      <c r="I20" s="86">
        <f t="shared" si="2"/>
        <v>18288.84</v>
      </c>
      <c r="J20" s="85">
        <v>39000</v>
      </c>
      <c r="K20" s="87">
        <f t="shared" si="3"/>
        <v>-39000</v>
      </c>
      <c r="L20" s="85">
        <v>20000</v>
      </c>
      <c r="M20" s="87">
        <f t="shared" si="4"/>
        <v>19000</v>
      </c>
      <c r="N20" s="85">
        <v>0</v>
      </c>
      <c r="O20" s="87">
        <f t="shared" si="4"/>
        <v>20000</v>
      </c>
      <c r="P20" s="85">
        <v>0</v>
      </c>
      <c r="Q20" s="87">
        <f t="shared" si="1"/>
        <v>20000</v>
      </c>
      <c r="R20" s="62">
        <f>_xlfn.XLOOKUP(B20,'Data (TB)'!$A$6:$A$554,'Data (TB)'!$E$6:$E$554,0)/'Data (TB)'!$C$2*12</f>
        <v>14224.653333333332</v>
      </c>
      <c r="S20" s="62">
        <f>SUMIFS(Dave!$G$5:$G$152,Dave!$A$5:$A$152,B20)</f>
        <v>0</v>
      </c>
      <c r="T20" s="87">
        <f t="shared" si="5"/>
        <v>-14224.653333333332</v>
      </c>
      <c r="U20" s="62">
        <f>SUMIFS(Dave!$H$5:$H$152,Dave!$A$5:$A$152,B20)</f>
        <v>0</v>
      </c>
      <c r="V20" s="87">
        <f t="shared" si="6"/>
        <v>14224.653333333332</v>
      </c>
      <c r="X20" s="1">
        <f>MATCH(B20,'Master Budget'!$G$4:$G$360,0)</f>
        <v>64</v>
      </c>
    </row>
    <row r="21" spans="1:26" x14ac:dyDescent="0.25">
      <c r="A21" s="1">
        <v>18</v>
      </c>
      <c r="B21" s="1" t="s">
        <v>274</v>
      </c>
      <c r="C21" s="1" t="s">
        <v>114</v>
      </c>
      <c r="D21" s="1">
        <f>_xlfn.XLOOKUP(B21,'Master Budget'!$G$4:$G$210,'Master Budget'!$D$4:$D$210,0)</f>
        <v>100</v>
      </c>
      <c r="E21" s="22">
        <v>102.88</v>
      </c>
      <c r="F21" s="84">
        <f>SUMIFS('Data (TB)'!$E$6:$E$524,'Data (TB)'!$A$6:$A$524,'Budget Worksheet'!B21)</f>
        <v>71.680000000000007</v>
      </c>
      <c r="G21" s="62">
        <f t="shared" si="0"/>
        <v>122.88</v>
      </c>
      <c r="H21" s="85">
        <v>11</v>
      </c>
      <c r="I21" s="86">
        <f t="shared" si="2"/>
        <v>111.88</v>
      </c>
      <c r="J21" s="85">
        <v>130</v>
      </c>
      <c r="K21" s="87">
        <f t="shared" si="3"/>
        <v>-119</v>
      </c>
      <c r="L21" s="85">
        <v>36</v>
      </c>
      <c r="M21" s="87">
        <f t="shared" si="4"/>
        <v>94</v>
      </c>
      <c r="N21" s="85">
        <v>57</v>
      </c>
      <c r="O21" s="87">
        <f t="shared" si="4"/>
        <v>-21</v>
      </c>
      <c r="P21" s="85">
        <v>38.400000000000006</v>
      </c>
      <c r="Q21" s="87">
        <f t="shared" si="1"/>
        <v>-2.4000000000000057</v>
      </c>
      <c r="R21" s="62">
        <f>_xlfn.XLOOKUP(B21,'Data (TB)'!$A$6:$A$554,'Data (TB)'!$E$6:$E$554,0)/'Data (TB)'!$C$2*12</f>
        <v>95.573333333333338</v>
      </c>
      <c r="S21" s="62">
        <f>SUMIFS(Dave!$G$5:$G$152,Dave!$A$5:$A$152,B21)</f>
        <v>100</v>
      </c>
      <c r="T21" s="87">
        <f t="shared" si="5"/>
        <v>4.4266666666666623</v>
      </c>
      <c r="U21" s="62">
        <f>SUMIFS(Dave!$H$5:$H$152,Dave!$A$5:$A$152,B21)</f>
        <v>38.400000000000006</v>
      </c>
      <c r="V21" s="87">
        <f t="shared" si="6"/>
        <v>57.173333333333332</v>
      </c>
      <c r="X21" s="1">
        <f>MATCH(B21,'Master Budget'!$G$4:$G$360,0)</f>
        <v>65</v>
      </c>
      <c r="Z21" s="162"/>
    </row>
    <row r="22" spans="1:26" x14ac:dyDescent="0.25">
      <c r="A22" s="1">
        <v>19</v>
      </c>
      <c r="B22" s="1" t="s">
        <v>275</v>
      </c>
      <c r="C22" s="1" t="s">
        <v>276</v>
      </c>
      <c r="D22" s="1">
        <f>_xlfn.XLOOKUP(B22,'Master Budget'!$G$4:$G$210,'Master Budget'!$D$4:$D$210,0)</f>
        <v>100</v>
      </c>
      <c r="E22" s="22">
        <v>4000</v>
      </c>
      <c r="F22" s="84">
        <f>SUMIFS('Data (TB)'!$E$6:$E$524,'Data (TB)'!$A$6:$A$524,'Budget Worksheet'!B22)</f>
        <v>634.02</v>
      </c>
      <c r="G22" s="62">
        <f t="shared" si="0"/>
        <v>1086.8914285714286</v>
      </c>
      <c r="H22" s="85">
        <v>0</v>
      </c>
      <c r="I22" s="86">
        <f t="shared" si="2"/>
        <v>1086.8914285714286</v>
      </c>
      <c r="J22" s="85">
        <v>5000</v>
      </c>
      <c r="K22" s="87">
        <f t="shared" si="3"/>
        <v>-5000</v>
      </c>
      <c r="L22" s="85">
        <v>5000</v>
      </c>
      <c r="M22" s="87">
        <f t="shared" si="4"/>
        <v>0</v>
      </c>
      <c r="N22" s="85">
        <v>5000</v>
      </c>
      <c r="O22" s="87">
        <f t="shared" si="4"/>
        <v>0</v>
      </c>
      <c r="P22" s="85">
        <v>5000</v>
      </c>
      <c r="Q22" s="87">
        <f t="shared" si="1"/>
        <v>0</v>
      </c>
      <c r="R22" s="62">
        <f>_xlfn.XLOOKUP(B22,'Data (TB)'!$A$6:$A$554,'Data (TB)'!$E$6:$E$554,0)/'Data (TB)'!$C$2*12</f>
        <v>845.3599999999999</v>
      </c>
      <c r="S22" s="62">
        <f>SUMIFS(Dave!$G$5:$G$152,Dave!$A$5:$A$152,B22)</f>
        <v>2000</v>
      </c>
      <c r="T22" s="87">
        <f t="shared" si="5"/>
        <v>1154.6400000000001</v>
      </c>
      <c r="U22" s="62">
        <f>SUMIFS(Dave!$H$5:$H$152,Dave!$A$5:$A$152,B22)</f>
        <v>5000</v>
      </c>
      <c r="V22" s="87">
        <f t="shared" si="6"/>
        <v>-4154.6400000000003</v>
      </c>
      <c r="X22" s="1">
        <f>MATCH(B22,'Master Budget'!$G$4:$G$360,0)</f>
        <v>66</v>
      </c>
    </row>
    <row r="23" spans="1:26" x14ac:dyDescent="0.25">
      <c r="A23" s="1">
        <v>20</v>
      </c>
      <c r="B23" s="1" t="s">
        <v>277</v>
      </c>
      <c r="C23" s="1" t="s">
        <v>1053</v>
      </c>
      <c r="D23" s="1">
        <f>_xlfn.XLOOKUP(B23,'Master Budget'!$G$4:$G$210,'Master Budget'!$D$4:$D$210,0)</f>
        <v>100</v>
      </c>
      <c r="E23" s="22">
        <v>0</v>
      </c>
      <c r="F23" s="84">
        <f>SUMIFS('Data (TB)'!$E$6:$E$524,'Data (TB)'!$A$6:$A$524,'Budget Worksheet'!B23)</f>
        <v>1105.69</v>
      </c>
      <c r="G23" s="62">
        <f t="shared" si="0"/>
        <v>1895.4685714285715</v>
      </c>
      <c r="H23" s="85">
        <v>0</v>
      </c>
      <c r="I23" s="86">
        <f t="shared" si="2"/>
        <v>1895.4685714285715</v>
      </c>
      <c r="J23" s="184">
        <v>50000</v>
      </c>
      <c r="K23" s="87">
        <f t="shared" ref="K23" si="7">ROUND(H23-J23,0)</f>
        <v>-50000</v>
      </c>
      <c r="L23" s="184">
        <v>47225</v>
      </c>
      <c r="M23" s="87">
        <f t="shared" ref="M23:O23" si="8">J23-L23</f>
        <v>2775</v>
      </c>
      <c r="N23" s="184">
        <v>6425</v>
      </c>
      <c r="O23" s="87">
        <f t="shared" si="8"/>
        <v>40800</v>
      </c>
      <c r="P23" s="184">
        <v>0</v>
      </c>
      <c r="Q23" s="87">
        <f t="shared" si="1"/>
        <v>47225</v>
      </c>
      <c r="R23" s="62">
        <f>_xlfn.XLOOKUP(B23,'Data (TB)'!$A$6:$A$554,'Data (TB)'!$E$6:$E$554,0)/'Data (TB)'!$C$2*12</f>
        <v>1474.2533333333336</v>
      </c>
      <c r="S23" s="147">
        <f>SUMIFS(Dave!$G$5:$G$152,Dave!$A$5:$A$152,B23)</f>
        <v>3500</v>
      </c>
      <c r="T23" s="87">
        <f t="shared" si="5"/>
        <v>2025.7466666666664</v>
      </c>
      <c r="U23" s="147">
        <f>SUMIFS(Dave!$H$5:$H$152,Dave!$A$5:$A$152,B23)</f>
        <v>3500</v>
      </c>
      <c r="V23" s="87">
        <f t="shared" si="6"/>
        <v>-2025.7466666666664</v>
      </c>
      <c r="X23" s="1">
        <f>MATCH(B23,'Master Budget'!$G$4:$G$360,0)</f>
        <v>67</v>
      </c>
    </row>
    <row r="24" spans="1:26" x14ac:dyDescent="0.25">
      <c r="A24" s="1">
        <v>21</v>
      </c>
      <c r="B24" s="1" t="s">
        <v>279</v>
      </c>
      <c r="C24" s="1" t="s">
        <v>1054</v>
      </c>
      <c r="D24" s="1">
        <f>_xlfn.XLOOKUP(B24,'Master Budget'!$G$4:$G$210,'Master Budget'!$D$4:$D$210,0)</f>
        <v>200</v>
      </c>
      <c r="E24" s="22">
        <v>22146.58</v>
      </c>
      <c r="F24" s="84">
        <f>SUMIFS('Data (TB)'!$E$6:$E$524,'Data (TB)'!$A$6:$A$524,'Budget Worksheet'!B24)</f>
        <v>12289.65</v>
      </c>
      <c r="G24" s="62">
        <f t="shared" si="0"/>
        <v>21067.971428571429</v>
      </c>
      <c r="H24" s="85">
        <v>20000</v>
      </c>
      <c r="I24" s="86">
        <f t="shared" si="2"/>
        <v>1067.971428571429</v>
      </c>
      <c r="J24" s="85">
        <v>20000</v>
      </c>
      <c r="K24" s="87">
        <f t="shared" si="3"/>
        <v>0</v>
      </c>
      <c r="L24" s="85">
        <v>20000</v>
      </c>
      <c r="M24" s="87">
        <f t="shared" si="4"/>
        <v>0</v>
      </c>
      <c r="N24" s="85">
        <v>20000</v>
      </c>
      <c r="O24" s="87">
        <f t="shared" si="4"/>
        <v>0</v>
      </c>
      <c r="P24" s="85">
        <v>20000</v>
      </c>
      <c r="Q24" s="87">
        <f t="shared" si="1"/>
        <v>0</v>
      </c>
      <c r="R24" s="62">
        <f>_xlfn.XLOOKUP(B24,'Data (TB)'!$A$6:$A$554,'Data (TB)'!$E$6:$E$554,0)/'Data (TB)'!$C$2*12</f>
        <v>16386.2</v>
      </c>
      <c r="S24" s="62">
        <f>SUMIFS(Dave!$G$5:$G$152,Dave!$A$5:$A$152,B24)</f>
        <v>20000</v>
      </c>
      <c r="T24" s="87">
        <f t="shared" si="5"/>
        <v>3613.7999999999993</v>
      </c>
      <c r="U24" s="62">
        <f>SUMIFS(Dave!$H$5:$H$152,Dave!$A$5:$A$152,B24)</f>
        <v>20000</v>
      </c>
      <c r="V24" s="87">
        <f t="shared" si="6"/>
        <v>-3613.7999999999993</v>
      </c>
      <c r="X24" s="1">
        <f>MATCH(B24,'Master Budget'!$G$4:$G$360,0)</f>
        <v>68</v>
      </c>
    </row>
    <row r="25" spans="1:26" x14ac:dyDescent="0.25">
      <c r="A25" s="1">
        <v>22</v>
      </c>
      <c r="B25" s="1" t="s">
        <v>281</v>
      </c>
      <c r="C25" s="1" t="s">
        <v>282</v>
      </c>
      <c r="D25" s="1">
        <f>_xlfn.XLOOKUP(B25,'Master Budget'!$G$4:$G$210,'Master Budget'!$D$4:$D$210,0)</f>
        <v>200</v>
      </c>
      <c r="E25" s="22">
        <v>10016.14</v>
      </c>
      <c r="F25" s="84">
        <f>SUMIFS('Data (TB)'!$E$6:$E$524,'Data (TB)'!$A$6:$A$524,'Budget Worksheet'!B25)</f>
        <v>16269.74</v>
      </c>
      <c r="G25" s="62">
        <f t="shared" si="0"/>
        <v>27890.982857142855</v>
      </c>
      <c r="H25" s="85">
        <v>10000</v>
      </c>
      <c r="I25" s="86">
        <f t="shared" si="2"/>
        <v>17890.982857142855</v>
      </c>
      <c r="J25" s="85">
        <v>21000</v>
      </c>
      <c r="K25" s="87">
        <f t="shared" si="3"/>
        <v>-11000</v>
      </c>
      <c r="L25" s="85">
        <v>20000</v>
      </c>
      <c r="M25" s="87">
        <f t="shared" si="4"/>
        <v>1000</v>
      </c>
      <c r="N25" s="85">
        <v>21000</v>
      </c>
      <c r="O25" s="87">
        <f t="shared" si="4"/>
        <v>-1000</v>
      </c>
      <c r="P25" s="85">
        <v>25000</v>
      </c>
      <c r="Q25" s="87">
        <f t="shared" si="1"/>
        <v>-5000</v>
      </c>
      <c r="R25" s="62">
        <f>_xlfn.XLOOKUP(B25,'Data (TB)'!$A$6:$A$554,'Data (TB)'!$E$6:$E$554,0)/'Data (TB)'!$C$2*12</f>
        <v>21692.986666666664</v>
      </c>
      <c r="S25" s="62">
        <f>SUMIFS(Dave!$G$5:$G$152,Dave!$A$5:$A$152,B25)</f>
        <v>25000</v>
      </c>
      <c r="T25" s="87">
        <f t="shared" si="5"/>
        <v>3307.013333333336</v>
      </c>
      <c r="U25" s="62">
        <f>SUMIFS(Dave!$H$5:$H$152,Dave!$A$5:$A$152,B25)</f>
        <v>25000</v>
      </c>
      <c r="V25" s="87">
        <f t="shared" si="6"/>
        <v>-3307.013333333336</v>
      </c>
      <c r="X25" s="1">
        <f>MATCH(B25,'Master Budget'!$G$4:$G$360,0)</f>
        <v>69</v>
      </c>
    </row>
    <row r="26" spans="1:26" x14ac:dyDescent="0.25">
      <c r="A26" s="1">
        <v>23</v>
      </c>
      <c r="B26" s="1" t="s">
        <v>283</v>
      </c>
      <c r="C26" s="1" t="s">
        <v>120</v>
      </c>
      <c r="D26" s="1">
        <f>_xlfn.XLOOKUP(B26,'Master Budget'!$G$4:$G$210,'Master Budget'!$D$4:$D$210,0)</f>
        <v>200</v>
      </c>
      <c r="E26" s="22">
        <v>16995.560000000001</v>
      </c>
      <c r="F26" s="84">
        <f>SUMIFS('Data (TB)'!$E$6:$E$524,'Data (TB)'!$A$6:$A$524,'Budget Worksheet'!B26)</f>
        <v>37018.879999999997</v>
      </c>
      <c r="G26" s="62">
        <f t="shared" si="0"/>
        <v>63460.937142857147</v>
      </c>
      <c r="H26" s="85">
        <v>22000</v>
      </c>
      <c r="I26" s="86">
        <f t="shared" si="2"/>
        <v>41460.937142857147</v>
      </c>
      <c r="J26" s="85">
        <v>24000</v>
      </c>
      <c r="K26" s="87">
        <f t="shared" si="3"/>
        <v>-2000</v>
      </c>
      <c r="L26" s="85">
        <v>22000</v>
      </c>
      <c r="M26" s="87">
        <f t="shared" si="4"/>
        <v>2000</v>
      </c>
      <c r="N26" s="85">
        <v>28000</v>
      </c>
      <c r="O26" s="87">
        <f t="shared" si="4"/>
        <v>-6000</v>
      </c>
      <c r="P26" s="85">
        <v>20000</v>
      </c>
      <c r="Q26" s="87">
        <f t="shared" si="1"/>
        <v>2000</v>
      </c>
      <c r="R26" s="62">
        <f>_xlfn.XLOOKUP(B26,'Data (TB)'!$A$6:$A$554,'Data (TB)'!$E$6:$E$554,0)/'Data (TB)'!$C$2*12</f>
        <v>49358.506666666661</v>
      </c>
      <c r="S26" s="62">
        <f>SUMIFS(Dave!$G$5:$G$152,Dave!$A$5:$A$152,B26)</f>
        <v>45000</v>
      </c>
      <c r="T26" s="87">
        <f t="shared" si="5"/>
        <v>-4358.5066666666607</v>
      </c>
      <c r="U26" s="62">
        <f>SUMIFS(Dave!$H$5:$H$152,Dave!$A$5:$A$152,B26)</f>
        <v>35000</v>
      </c>
      <c r="V26" s="87">
        <f t="shared" si="6"/>
        <v>14358.506666666661</v>
      </c>
      <c r="X26" s="1">
        <f>MATCH(B26,'Master Budget'!$G$4:$G$360,0)</f>
        <v>70</v>
      </c>
    </row>
    <row r="27" spans="1:26" x14ac:dyDescent="0.25">
      <c r="A27" s="1">
        <v>24</v>
      </c>
      <c r="B27" s="1" t="s">
        <v>284</v>
      </c>
      <c r="C27" s="1" t="s">
        <v>124</v>
      </c>
      <c r="D27" s="1">
        <f>_xlfn.XLOOKUP(B27,'Master Budget'!$G$4:$G$210,'Master Budget'!$D$4:$D$210,0)</f>
        <v>200</v>
      </c>
      <c r="E27" s="22">
        <v>4930</v>
      </c>
      <c r="F27" s="84">
        <f>SUMIFS('Data (TB)'!$E$6:$E$524,'Data (TB)'!$A$6:$A$524,'Budget Worksheet'!B27)</f>
        <v>7418.63</v>
      </c>
      <c r="G27" s="62">
        <f t="shared" si="0"/>
        <v>12717.651428571429</v>
      </c>
      <c r="H27" s="85">
        <v>7500</v>
      </c>
      <c r="I27" s="86">
        <f t="shared" si="2"/>
        <v>5217.6514285714293</v>
      </c>
      <c r="J27" s="85">
        <v>7500</v>
      </c>
      <c r="K27" s="87">
        <f t="shared" si="3"/>
        <v>0</v>
      </c>
      <c r="L27" s="85">
        <v>7500</v>
      </c>
      <c r="M27" s="87">
        <f t="shared" si="4"/>
        <v>0</v>
      </c>
      <c r="N27" s="85">
        <v>17000</v>
      </c>
      <c r="O27" s="87">
        <f t="shared" si="4"/>
        <v>-9500</v>
      </c>
      <c r="P27" s="85">
        <v>17000</v>
      </c>
      <c r="Q27" s="87">
        <f t="shared" si="1"/>
        <v>-9500</v>
      </c>
      <c r="R27" s="62">
        <f>_xlfn.XLOOKUP(B27,'Data (TB)'!$A$6:$A$554,'Data (TB)'!$E$6:$E$554,0)/'Data (TB)'!$C$2*12</f>
        <v>9891.5066666666662</v>
      </c>
      <c r="S27" s="62">
        <f>SUMIFS(Dave!$G$5:$G$152,Dave!$A$5:$A$152,B27)</f>
        <v>17000</v>
      </c>
      <c r="T27" s="87">
        <f t="shared" si="5"/>
        <v>7108.4933333333338</v>
      </c>
      <c r="U27" s="62">
        <f>SUMIFS(Dave!$H$5:$H$152,Dave!$A$5:$A$152,B27)</f>
        <v>17000</v>
      </c>
      <c r="V27" s="87">
        <f t="shared" si="6"/>
        <v>-7108.4933333333338</v>
      </c>
      <c r="X27" s="1">
        <f>MATCH(B27,'Master Budget'!$G$4:$G$360,0)</f>
        <v>72</v>
      </c>
    </row>
    <row r="28" spans="1:26" x14ac:dyDescent="0.25">
      <c r="A28" s="1">
        <v>25</v>
      </c>
      <c r="B28" s="1" t="s">
        <v>285</v>
      </c>
      <c r="C28" s="1" t="s">
        <v>126</v>
      </c>
      <c r="D28" s="1">
        <f>_xlfn.XLOOKUP(B28,'Master Budget'!$G$4:$G$210,'Master Budget'!$D$4:$D$210,0)</f>
        <v>200</v>
      </c>
      <c r="E28" s="22">
        <v>7514.76</v>
      </c>
      <c r="F28" s="84">
        <f>SUMIFS('Data (TB)'!$E$6:$E$524,'Data (TB)'!$A$6:$A$524,'Budget Worksheet'!B28)</f>
        <v>3026.64</v>
      </c>
      <c r="G28" s="62">
        <f t="shared" si="0"/>
        <v>5188.5257142857135</v>
      </c>
      <c r="H28" s="85">
        <v>5000</v>
      </c>
      <c r="I28" s="86">
        <f t="shared" si="2"/>
        <v>188.52571428571355</v>
      </c>
      <c r="J28" s="85">
        <v>5000</v>
      </c>
      <c r="K28" s="87">
        <f t="shared" si="3"/>
        <v>0</v>
      </c>
      <c r="L28" s="85">
        <v>8000</v>
      </c>
      <c r="M28" s="87">
        <f t="shared" si="4"/>
        <v>-3000</v>
      </c>
      <c r="N28" s="85">
        <v>5000</v>
      </c>
      <c r="O28" s="87">
        <f t="shared" si="4"/>
        <v>3000</v>
      </c>
      <c r="P28" s="85">
        <v>8000</v>
      </c>
      <c r="Q28" s="87">
        <f t="shared" si="1"/>
        <v>0</v>
      </c>
      <c r="R28" s="62">
        <f>_xlfn.XLOOKUP(B28,'Data (TB)'!$A$6:$A$554,'Data (TB)'!$E$6:$E$554,0)/'Data (TB)'!$C$2*12</f>
        <v>4035.5199999999995</v>
      </c>
      <c r="S28" s="62">
        <f>SUMIFS(Dave!$G$5:$G$152,Dave!$A$5:$A$152,B28)</f>
        <v>8000</v>
      </c>
      <c r="T28" s="87">
        <f t="shared" si="5"/>
        <v>3964.4800000000005</v>
      </c>
      <c r="U28" s="62">
        <f>SUMIFS(Dave!$H$5:$H$152,Dave!$A$5:$A$152,B28)</f>
        <v>8000</v>
      </c>
      <c r="V28" s="87">
        <f t="shared" si="6"/>
        <v>-3964.4800000000005</v>
      </c>
      <c r="X28" s="1">
        <f>MATCH(B28,'Master Budget'!$G$4:$G$360,0)</f>
        <v>73</v>
      </c>
    </row>
    <row r="29" spans="1:26" x14ac:dyDescent="0.25">
      <c r="A29" s="1">
        <v>26</v>
      </c>
      <c r="B29" s="1" t="s">
        <v>286</v>
      </c>
      <c r="C29" s="1" t="s">
        <v>287</v>
      </c>
      <c r="D29" s="1">
        <f>_xlfn.XLOOKUP(B29,'Master Budget'!$G$4:$G$210,'Master Budget'!$D$4:$D$210,0)</f>
        <v>200</v>
      </c>
      <c r="E29" s="22">
        <v>3756.55</v>
      </c>
      <c r="F29" s="84">
        <f>SUMIFS('Data (TB)'!$E$6:$E$524,'Data (TB)'!$A$6:$A$524,'Budget Worksheet'!B29)</f>
        <v>2533.35</v>
      </c>
      <c r="G29" s="62">
        <f t="shared" si="0"/>
        <v>4342.8857142857141</v>
      </c>
      <c r="H29" s="85">
        <v>2000</v>
      </c>
      <c r="I29" s="86">
        <f t="shared" si="2"/>
        <v>2342.8857142857141</v>
      </c>
      <c r="J29" s="85">
        <v>4600</v>
      </c>
      <c r="K29" s="87">
        <f t="shared" si="3"/>
        <v>-2600</v>
      </c>
      <c r="L29" s="85">
        <v>4000</v>
      </c>
      <c r="M29" s="87">
        <f t="shared" si="4"/>
        <v>600</v>
      </c>
      <c r="N29" s="85">
        <v>7000</v>
      </c>
      <c r="O29" s="87">
        <f t="shared" si="4"/>
        <v>-3000</v>
      </c>
      <c r="P29" s="85">
        <v>4500</v>
      </c>
      <c r="Q29" s="87">
        <f t="shared" si="1"/>
        <v>-500</v>
      </c>
      <c r="R29" s="62">
        <f>_xlfn.XLOOKUP(B29,'Data (TB)'!$A$6:$A$554,'Data (TB)'!$E$6:$E$554,0)/'Data (TB)'!$C$2*12</f>
        <v>3377.8</v>
      </c>
      <c r="S29" s="62">
        <f>SUMIFS(Dave!$G$5:$G$152,Dave!$A$5:$A$152,B29)</f>
        <v>4700</v>
      </c>
      <c r="T29" s="87">
        <f t="shared" si="5"/>
        <v>1322.1999999999998</v>
      </c>
      <c r="U29" s="62">
        <f>SUMIFS(Dave!$H$5:$H$152,Dave!$A$5:$A$152,B29)</f>
        <v>4700</v>
      </c>
      <c r="V29" s="87">
        <f t="shared" si="6"/>
        <v>-1322.1999999999998</v>
      </c>
      <c r="X29" s="1">
        <f>MATCH(B29,'Master Budget'!$G$4:$G$360,0)</f>
        <v>74</v>
      </c>
    </row>
    <row r="30" spans="1:26" x14ac:dyDescent="0.25">
      <c r="A30" s="1">
        <v>27</v>
      </c>
      <c r="B30" s="1" t="s">
        <v>288</v>
      </c>
      <c r="C30" s="1" t="s">
        <v>130</v>
      </c>
      <c r="D30" s="1">
        <f>_xlfn.XLOOKUP(B30,'Master Budget'!$G$4:$G$210,'Master Budget'!$D$4:$D$210,0)</f>
        <v>200</v>
      </c>
      <c r="E30" s="22">
        <v>18135.5</v>
      </c>
      <c r="F30" s="84">
        <f>SUMIFS('Data (TB)'!$E$6:$E$524,'Data (TB)'!$A$6:$A$524,'Budget Worksheet'!B30)</f>
        <v>3157.5</v>
      </c>
      <c r="G30" s="62">
        <f t="shared" si="0"/>
        <v>5412.8571428571431</v>
      </c>
      <c r="H30" s="85">
        <v>35000</v>
      </c>
      <c r="I30" s="86">
        <f t="shared" si="2"/>
        <v>-29587.142857142855</v>
      </c>
      <c r="J30" s="85">
        <v>35000</v>
      </c>
      <c r="K30" s="87">
        <f t="shared" si="3"/>
        <v>0</v>
      </c>
      <c r="L30" s="85">
        <v>35000</v>
      </c>
      <c r="M30" s="87">
        <f t="shared" si="4"/>
        <v>0</v>
      </c>
      <c r="N30" s="85">
        <v>35000</v>
      </c>
      <c r="O30" s="87">
        <f t="shared" si="4"/>
        <v>0</v>
      </c>
      <c r="P30" s="85">
        <v>35000</v>
      </c>
      <c r="Q30" s="87">
        <f t="shared" si="1"/>
        <v>0</v>
      </c>
      <c r="R30" s="62">
        <f>_xlfn.XLOOKUP(B30,'Data (TB)'!$A$6:$A$554,'Data (TB)'!$E$6:$E$554,0)/'Data (TB)'!$C$2*12</f>
        <v>4210</v>
      </c>
      <c r="S30" s="62">
        <f>SUMIFS(Dave!$G$5:$G$152,Dave!$A$5:$A$152,B30)</f>
        <v>35000</v>
      </c>
      <c r="T30" s="87">
        <f t="shared" si="5"/>
        <v>30790</v>
      </c>
      <c r="U30" s="62">
        <f>SUMIFS(Dave!$H$5:$H$152,Dave!$A$5:$A$152,B30)</f>
        <v>35000</v>
      </c>
      <c r="V30" s="87">
        <f t="shared" si="6"/>
        <v>-30790</v>
      </c>
      <c r="X30" s="1">
        <f>MATCH(B30,'Master Budget'!$G$4:$G$360,0)</f>
        <v>75</v>
      </c>
    </row>
    <row r="31" spans="1:26" x14ac:dyDescent="0.25">
      <c r="A31" s="1">
        <v>28</v>
      </c>
      <c r="B31" s="1" t="s">
        <v>289</v>
      </c>
      <c r="C31" s="1" t="s">
        <v>132</v>
      </c>
      <c r="D31" s="1">
        <f>_xlfn.XLOOKUP(B31,'Master Budget'!$G$4:$G$210,'Master Budget'!$D$4:$D$210,0)</f>
        <v>200</v>
      </c>
      <c r="E31" s="22">
        <v>2053.9699999999998</v>
      </c>
      <c r="F31" s="84">
        <f>SUMIFS('Data (TB)'!$E$6:$E$524,'Data (TB)'!$A$6:$A$524,'Budget Worksheet'!B31)</f>
        <v>4995.79</v>
      </c>
      <c r="G31" s="62">
        <f t="shared" si="0"/>
        <v>8564.2114285714288</v>
      </c>
      <c r="H31" s="85">
        <v>1000</v>
      </c>
      <c r="I31" s="86">
        <f t="shared" si="2"/>
        <v>7564.2114285714288</v>
      </c>
      <c r="J31" s="85">
        <v>8000</v>
      </c>
      <c r="K31" s="87">
        <f t="shared" si="3"/>
        <v>-7000</v>
      </c>
      <c r="L31" s="85">
        <v>5000</v>
      </c>
      <c r="M31" s="87">
        <f t="shared" si="4"/>
        <v>3000</v>
      </c>
      <c r="N31" s="85">
        <v>10000</v>
      </c>
      <c r="O31" s="87">
        <f t="shared" si="4"/>
        <v>-5000</v>
      </c>
      <c r="P31" s="85">
        <v>10000</v>
      </c>
      <c r="Q31" s="87">
        <f t="shared" si="1"/>
        <v>-5000</v>
      </c>
      <c r="R31" s="62">
        <f>_xlfn.XLOOKUP(B31,'Data (TB)'!$A$6:$A$554,'Data (TB)'!$E$6:$E$554,0)/'Data (TB)'!$C$2*12</f>
        <v>6661.0533333333333</v>
      </c>
      <c r="S31" s="62">
        <f>SUMIFS(Dave!$G$5:$G$152,Dave!$A$5:$A$152,B31)</f>
        <v>10000</v>
      </c>
      <c r="T31" s="87">
        <f t="shared" si="5"/>
        <v>3338.9466666666667</v>
      </c>
      <c r="U31" s="62">
        <f>SUMIFS(Dave!$H$5:$H$152,Dave!$A$5:$A$152,B31)</f>
        <v>10000</v>
      </c>
      <c r="V31" s="87">
        <f t="shared" si="6"/>
        <v>-3338.9466666666667</v>
      </c>
      <c r="X31" s="1">
        <f>MATCH(B31,'Master Budget'!$G$4:$G$360,0)</f>
        <v>76</v>
      </c>
    </row>
    <row r="32" spans="1:26" x14ac:dyDescent="0.25">
      <c r="A32" s="1">
        <v>29</v>
      </c>
      <c r="B32" s="1" t="s">
        <v>290</v>
      </c>
      <c r="C32" s="1" t="s">
        <v>291</v>
      </c>
      <c r="D32" s="1">
        <f>_xlfn.XLOOKUP(B32,'Master Budget'!$G$4:$G$210,'Master Budget'!$D$4:$D$210,0)</f>
        <v>200</v>
      </c>
      <c r="E32" s="22">
        <v>208.77</v>
      </c>
      <c r="F32" s="84">
        <f>SUMIFS('Data (TB)'!$E$6:$E$524,'Data (TB)'!$A$6:$A$524,'Budget Worksheet'!B32)</f>
        <v>0</v>
      </c>
      <c r="G32" s="62">
        <f t="shared" si="0"/>
        <v>0</v>
      </c>
      <c r="H32" s="85">
        <v>250</v>
      </c>
      <c r="I32" s="86">
        <f t="shared" si="2"/>
        <v>-250</v>
      </c>
      <c r="J32" s="85">
        <v>250</v>
      </c>
      <c r="K32" s="87">
        <f t="shared" si="3"/>
        <v>0</v>
      </c>
      <c r="L32" s="85">
        <v>250</v>
      </c>
      <c r="M32" s="87">
        <f t="shared" si="4"/>
        <v>0</v>
      </c>
      <c r="N32" s="85">
        <v>250</v>
      </c>
      <c r="O32" s="87">
        <f t="shared" si="4"/>
        <v>0</v>
      </c>
      <c r="P32" s="85">
        <v>250</v>
      </c>
      <c r="Q32" s="87">
        <f t="shared" si="1"/>
        <v>0</v>
      </c>
      <c r="R32" s="62">
        <f>_xlfn.XLOOKUP(B32,'Data (TB)'!$A$6:$A$554,'Data (TB)'!$E$6:$E$554,0)/'Data (TB)'!$C$2*12</f>
        <v>0</v>
      </c>
      <c r="S32" s="62">
        <f>SUMIFS(Dave!$G$5:$G$152,Dave!$A$5:$A$152,B32)</f>
        <v>250</v>
      </c>
      <c r="T32" s="87">
        <f t="shared" si="5"/>
        <v>250</v>
      </c>
      <c r="U32" s="62">
        <f>SUMIFS(Dave!$H$5:$H$152,Dave!$A$5:$A$152,B32)</f>
        <v>250</v>
      </c>
      <c r="V32" s="87">
        <f t="shared" si="6"/>
        <v>-250</v>
      </c>
      <c r="X32" s="1">
        <f>MATCH(B32,'Master Budget'!$G$4:$G$360,0)</f>
        <v>77</v>
      </c>
    </row>
    <row r="33" spans="1:24" x14ac:dyDescent="0.25">
      <c r="A33" s="1">
        <v>30</v>
      </c>
      <c r="B33" s="1" t="s">
        <v>292</v>
      </c>
      <c r="C33" s="1" t="s">
        <v>1058</v>
      </c>
      <c r="D33" s="1">
        <f>_xlfn.XLOOKUP(B33,'Master Budget'!$G$4:$G$210,'Master Budget'!$D$4:$D$210,0)</f>
        <v>200</v>
      </c>
      <c r="E33" s="22">
        <v>709</v>
      </c>
      <c r="F33" s="84">
        <f>SUMIFS('Data (TB)'!$E$6:$E$524,'Data (TB)'!$A$6:$A$524,'Budget Worksheet'!B33)</f>
        <v>495.74</v>
      </c>
      <c r="G33" s="62">
        <f t="shared" si="0"/>
        <v>849.84000000000015</v>
      </c>
      <c r="H33" s="85">
        <v>500</v>
      </c>
      <c r="I33" s="86">
        <f t="shared" si="2"/>
        <v>349.84000000000015</v>
      </c>
      <c r="J33" s="85">
        <v>500</v>
      </c>
      <c r="K33" s="87">
        <f t="shared" si="3"/>
        <v>0</v>
      </c>
      <c r="L33" s="85">
        <v>500</v>
      </c>
      <c r="M33" s="87">
        <f t="shared" si="4"/>
        <v>0</v>
      </c>
      <c r="N33" s="85">
        <v>500</v>
      </c>
      <c r="O33" s="87">
        <f t="shared" si="4"/>
        <v>0</v>
      </c>
      <c r="P33" s="85">
        <v>500</v>
      </c>
      <c r="Q33" s="87">
        <f t="shared" si="1"/>
        <v>0</v>
      </c>
      <c r="R33" s="62">
        <f>_xlfn.XLOOKUP(B33,'Data (TB)'!$A$6:$A$554,'Data (TB)'!$E$6:$E$554,0)/'Data (TB)'!$C$2*12</f>
        <v>660.98666666666668</v>
      </c>
      <c r="S33" s="62">
        <f>SUMIFS(Dave!$G$5:$G$152,Dave!$A$5:$A$152,B33)</f>
        <v>758.24</v>
      </c>
      <c r="T33" s="87">
        <f t="shared" si="5"/>
        <v>97.25333333333333</v>
      </c>
      <c r="U33" s="62">
        <f>SUMIFS(Dave!$H$5:$H$152,Dave!$A$5:$A$152,B33)</f>
        <v>800</v>
      </c>
      <c r="V33" s="87">
        <f t="shared" si="6"/>
        <v>-139.01333333333332</v>
      </c>
      <c r="X33" s="1">
        <f>MATCH(B33,'Master Budget'!$G$4:$G$360,0)</f>
        <v>78</v>
      </c>
    </row>
    <row r="34" spans="1:24" x14ac:dyDescent="0.25">
      <c r="B34" s="1" t="s">
        <v>294</v>
      </c>
      <c r="C34" s="1" t="s">
        <v>295</v>
      </c>
      <c r="E34" s="22"/>
      <c r="F34" s="84"/>
      <c r="G34" s="62"/>
      <c r="H34" s="85"/>
      <c r="I34" s="86"/>
      <c r="J34" s="85">
        <v>0</v>
      </c>
      <c r="K34" s="87"/>
      <c r="L34" s="85">
        <v>0</v>
      </c>
      <c r="M34" s="87"/>
      <c r="N34" s="85">
        <v>0</v>
      </c>
      <c r="O34" s="87"/>
      <c r="P34" s="85">
        <v>0</v>
      </c>
      <c r="Q34" s="87"/>
      <c r="R34" s="62">
        <f>_xlfn.XLOOKUP(B34,'Data (TB)'!$A$6:$A$554,'Data (TB)'!$E$6:$E$554,0)/'Data (TB)'!$C$2*12</f>
        <v>13333.333333333332</v>
      </c>
      <c r="S34" s="62">
        <f>SUMIFS(Dave!$G$5:$G$152,Dave!$A$5:$A$152,B34)</f>
        <v>10000</v>
      </c>
      <c r="T34" s="87">
        <f t="shared" si="5"/>
        <v>-3333.3333333333321</v>
      </c>
      <c r="U34" s="62">
        <f>SUMIFS(Dave!$H$5:$H$152,Dave!$A$5:$A$152,B34)</f>
        <v>0</v>
      </c>
      <c r="V34" s="87">
        <f t="shared" si="6"/>
        <v>13333.333333333332</v>
      </c>
      <c r="X34" s="1">
        <f>MATCH(B34,'Master Budget'!$G$4:$G$360,0)</f>
        <v>79</v>
      </c>
    </row>
    <row r="35" spans="1:24" x14ac:dyDescent="0.25">
      <c r="A35" s="1">
        <v>31</v>
      </c>
      <c r="B35" s="1" t="s">
        <v>296</v>
      </c>
      <c r="C35" s="1" t="s">
        <v>297</v>
      </c>
      <c r="D35" s="1">
        <f>_xlfn.XLOOKUP(B35,'Master Budget'!$G$4:$G$210,'Master Budget'!$D$4:$D$210,0)</f>
        <v>200</v>
      </c>
      <c r="E35" s="22">
        <v>4369.9399999999996</v>
      </c>
      <c r="F35" s="84">
        <f>SUMIFS('Data (TB)'!$E$6:$E$524,'Data (TB)'!$A$6:$A$524,'Budget Worksheet'!B35)</f>
        <v>6219.05</v>
      </c>
      <c r="G35" s="62">
        <f t="shared" si="0"/>
        <v>10661.228571428572</v>
      </c>
      <c r="H35" s="85">
        <v>4000</v>
      </c>
      <c r="I35" s="86">
        <f t="shared" si="2"/>
        <v>6661.2285714285717</v>
      </c>
      <c r="J35" s="85">
        <v>8000</v>
      </c>
      <c r="K35" s="87">
        <f t="shared" si="3"/>
        <v>-4000</v>
      </c>
      <c r="L35" s="85">
        <v>8000</v>
      </c>
      <c r="M35" s="87">
        <f t="shared" si="4"/>
        <v>0</v>
      </c>
      <c r="N35" s="85">
        <v>8000</v>
      </c>
      <c r="O35" s="87">
        <f t="shared" si="4"/>
        <v>0</v>
      </c>
      <c r="P35" s="85">
        <v>8000</v>
      </c>
      <c r="Q35" s="87">
        <f t="shared" ref="Q35:Q68" si="9">L35-P35</f>
        <v>0</v>
      </c>
      <c r="R35" s="62">
        <f>_xlfn.XLOOKUP(B35,'Data (TB)'!$A$6:$A$554,'Data (TB)'!$E$6:$E$554,0)/'Data (TB)'!$C$2*12</f>
        <v>8292.0666666666675</v>
      </c>
      <c r="S35" s="62">
        <f>SUMIFS(Dave!$G$5:$G$152,Dave!$A$5:$A$152,B35)</f>
        <v>10798.38</v>
      </c>
      <c r="T35" s="87">
        <f t="shared" si="5"/>
        <v>2506.3133333333317</v>
      </c>
      <c r="U35" s="62">
        <f>SUMIFS(Dave!$H$5:$H$152,Dave!$A$5:$A$152,B35)</f>
        <v>11000</v>
      </c>
      <c r="V35" s="87">
        <f t="shared" si="6"/>
        <v>-2707.9333333333325</v>
      </c>
      <c r="X35" s="1">
        <f>MATCH(B35,'Master Budget'!$G$4:$G$360,0)</f>
        <v>80</v>
      </c>
    </row>
    <row r="36" spans="1:24" x14ac:dyDescent="0.25">
      <c r="A36" s="1">
        <v>32</v>
      </c>
      <c r="B36" s="1" t="s">
        <v>298</v>
      </c>
      <c r="C36" s="1" t="s">
        <v>299</v>
      </c>
      <c r="D36" s="1">
        <f>_xlfn.XLOOKUP(B36,'Master Budget'!$G$4:$G$210,'Master Budget'!$D$4:$D$210,0)</f>
        <v>200</v>
      </c>
      <c r="E36" s="22">
        <v>0</v>
      </c>
      <c r="F36" s="84">
        <f>SUMIFS('Data (TB)'!$E$6:$E$524,'Data (TB)'!$A$6:$A$524,'Budget Worksheet'!B36)</f>
        <v>0</v>
      </c>
      <c r="G36" s="62">
        <f t="shared" si="0"/>
        <v>0</v>
      </c>
      <c r="H36" s="85">
        <v>0</v>
      </c>
      <c r="I36" s="86">
        <f t="shared" si="2"/>
        <v>0</v>
      </c>
      <c r="J36" s="85">
        <v>0</v>
      </c>
      <c r="K36" s="87">
        <f t="shared" si="3"/>
        <v>0</v>
      </c>
      <c r="L36" s="85">
        <v>0</v>
      </c>
      <c r="M36" s="87">
        <f t="shared" si="4"/>
        <v>0</v>
      </c>
      <c r="N36" s="85">
        <v>0</v>
      </c>
      <c r="O36" s="87">
        <f t="shared" si="4"/>
        <v>0</v>
      </c>
      <c r="P36" s="85">
        <v>0</v>
      </c>
      <c r="Q36" s="87">
        <f t="shared" si="9"/>
        <v>0</v>
      </c>
      <c r="R36" s="62">
        <f>_xlfn.XLOOKUP(B36,'Data (TB)'!$A$6:$A$554,'Data (TB)'!$E$6:$E$554,0)/'Data (TB)'!$C$2*12</f>
        <v>0</v>
      </c>
      <c r="S36" s="62">
        <f>SUMIFS(Dave!$G$5:$G$152,Dave!$A$5:$A$152,B36)</f>
        <v>0</v>
      </c>
      <c r="T36" s="87">
        <f t="shared" si="5"/>
        <v>0</v>
      </c>
      <c r="U36" s="62">
        <f>SUMIFS(Dave!$H$5:$H$152,Dave!$A$5:$A$152,B36)</f>
        <v>0</v>
      </c>
      <c r="V36" s="87">
        <f t="shared" si="6"/>
        <v>0</v>
      </c>
      <c r="X36" s="1">
        <f>MATCH(B36,'Master Budget'!$G$4:$G$360,0)</f>
        <v>81</v>
      </c>
    </row>
    <row r="37" spans="1:24" x14ac:dyDescent="0.25">
      <c r="A37" s="1">
        <v>33</v>
      </c>
      <c r="B37" s="1" t="s">
        <v>300</v>
      </c>
      <c r="C37" s="1" t="s">
        <v>301</v>
      </c>
      <c r="D37" s="1">
        <f>_xlfn.XLOOKUP(B37,'Master Budget'!$G$4:$G$210,'Master Budget'!$D$4:$D$210,0)</f>
        <v>200</v>
      </c>
      <c r="E37" s="22">
        <v>2993.26</v>
      </c>
      <c r="F37" s="84">
        <f>SUMIFS('Data (TB)'!$E$6:$E$524,'Data (TB)'!$A$6:$A$524,'Budget Worksheet'!B37)</f>
        <v>1447.2</v>
      </c>
      <c r="G37" s="62">
        <f t="shared" si="0"/>
        <v>2480.9142857142861</v>
      </c>
      <c r="H37" s="85">
        <v>3000</v>
      </c>
      <c r="I37" s="86">
        <f t="shared" si="2"/>
        <v>-519.08571428571395</v>
      </c>
      <c r="J37" s="85">
        <v>4500</v>
      </c>
      <c r="K37" s="87">
        <f t="shared" si="3"/>
        <v>-1500</v>
      </c>
      <c r="L37" s="85">
        <v>4500</v>
      </c>
      <c r="M37" s="87">
        <f t="shared" si="4"/>
        <v>0</v>
      </c>
      <c r="N37" s="85">
        <v>4500</v>
      </c>
      <c r="O37" s="87">
        <f t="shared" si="4"/>
        <v>0</v>
      </c>
      <c r="P37" s="85">
        <v>4500</v>
      </c>
      <c r="Q37" s="87">
        <f t="shared" si="9"/>
        <v>0</v>
      </c>
      <c r="R37" s="62">
        <f>_xlfn.XLOOKUP(B37,'Data (TB)'!$A$6:$A$554,'Data (TB)'!$E$6:$E$554,0)/'Data (TB)'!$C$2*12</f>
        <v>1929.6000000000001</v>
      </c>
      <c r="S37" s="62">
        <f>SUMIFS(Dave!$G$5:$G$152,Dave!$A$5:$A$152,B37)</f>
        <v>2894.4</v>
      </c>
      <c r="T37" s="87">
        <f t="shared" si="5"/>
        <v>964.8</v>
      </c>
      <c r="U37" s="62">
        <f>SUMIFS(Dave!$H$5:$H$152,Dave!$A$5:$A$152,B37)</f>
        <v>3000</v>
      </c>
      <c r="V37" s="87">
        <f t="shared" si="6"/>
        <v>-1070.3999999999999</v>
      </c>
      <c r="X37" s="1">
        <f>MATCH(B37,'Master Budget'!$G$4:$G$360,0)</f>
        <v>82</v>
      </c>
    </row>
    <row r="38" spans="1:24" x14ac:dyDescent="0.25">
      <c r="A38" s="1">
        <v>34</v>
      </c>
      <c r="B38" s="1" t="s">
        <v>302</v>
      </c>
      <c r="C38" s="1" t="s">
        <v>303</v>
      </c>
      <c r="D38" s="1">
        <f>_xlfn.XLOOKUP(B38,'Master Budget'!$G$4:$G$210,'Master Budget'!$D$4:$D$210,0)</f>
        <v>200</v>
      </c>
      <c r="E38" s="22">
        <v>19467.27</v>
      </c>
      <c r="F38" s="84">
        <f>SUMIFS('Data (TB)'!$E$6:$E$524,'Data (TB)'!$A$6:$A$524,'Budget Worksheet'!B38)</f>
        <v>22535.47</v>
      </c>
      <c r="G38" s="62">
        <f t="shared" si="0"/>
        <v>38632.234285714287</v>
      </c>
      <c r="H38" s="85">
        <v>18000</v>
      </c>
      <c r="I38" s="86">
        <f t="shared" si="2"/>
        <v>20632.234285714287</v>
      </c>
      <c r="J38" s="85">
        <v>20000</v>
      </c>
      <c r="K38" s="87">
        <f t="shared" si="3"/>
        <v>-2000</v>
      </c>
      <c r="L38" s="85">
        <v>18000</v>
      </c>
      <c r="M38" s="87">
        <f t="shared" si="4"/>
        <v>2000</v>
      </c>
      <c r="N38" s="85">
        <v>40000</v>
      </c>
      <c r="O38" s="87">
        <f t="shared" si="4"/>
        <v>-22000</v>
      </c>
      <c r="P38" s="85">
        <v>20000</v>
      </c>
      <c r="Q38" s="87">
        <f t="shared" si="9"/>
        <v>-2000</v>
      </c>
      <c r="R38" s="62">
        <f>_xlfn.XLOOKUP(B38,'Data (TB)'!$A$6:$A$554,'Data (TB)'!$E$6:$E$554,0)/'Data (TB)'!$C$2*12</f>
        <v>30047.293333333335</v>
      </c>
      <c r="S38" s="62">
        <f>SUMIFS(Dave!$G$5:$G$152,Dave!$A$5:$A$152,B38)</f>
        <v>25000</v>
      </c>
      <c r="T38" s="87">
        <f t="shared" si="5"/>
        <v>-5047.2933333333349</v>
      </c>
      <c r="U38" s="62">
        <f>SUMIFS(Dave!$H$5:$H$152,Dave!$A$5:$A$152,B38)</f>
        <v>25000</v>
      </c>
      <c r="V38" s="87">
        <f t="shared" si="6"/>
        <v>5047.2933333333349</v>
      </c>
      <c r="X38" s="1">
        <f>MATCH(B38,'Master Budget'!$G$4:$G$360,0)</f>
        <v>83</v>
      </c>
    </row>
    <row r="39" spans="1:24" x14ac:dyDescent="0.25">
      <c r="A39" s="1">
        <v>35</v>
      </c>
      <c r="B39" s="1" t="s">
        <v>304</v>
      </c>
      <c r="C39" s="1" t="s">
        <v>305</v>
      </c>
      <c r="D39" s="1">
        <f>_xlfn.XLOOKUP(B39,'Master Budget'!$G$4:$G$210,'Master Budget'!$D$4:$D$210,0)</f>
        <v>200</v>
      </c>
      <c r="E39" s="22">
        <v>0</v>
      </c>
      <c r="F39" s="84">
        <f>SUMIFS('Data (TB)'!$E$6:$E$524,'Data (TB)'!$A$6:$A$524,'Budget Worksheet'!B39)</f>
        <v>0</v>
      </c>
      <c r="G39" s="62">
        <f t="shared" ref="G39:G58" si="10">F39/$G$1*12</f>
        <v>0</v>
      </c>
      <c r="H39" s="85">
        <v>0</v>
      </c>
      <c r="I39" s="86">
        <f t="shared" si="2"/>
        <v>0</v>
      </c>
      <c r="J39" s="85">
        <v>0</v>
      </c>
      <c r="K39" s="87">
        <f t="shared" si="3"/>
        <v>0</v>
      </c>
      <c r="L39" s="85">
        <v>0</v>
      </c>
      <c r="M39" s="87">
        <f t="shared" si="4"/>
        <v>0</v>
      </c>
      <c r="N39" s="85">
        <v>0</v>
      </c>
      <c r="O39" s="87">
        <f t="shared" si="4"/>
        <v>0</v>
      </c>
      <c r="P39" s="85">
        <v>0</v>
      </c>
      <c r="Q39" s="87">
        <f t="shared" si="9"/>
        <v>0</v>
      </c>
      <c r="R39" s="62">
        <f>_xlfn.XLOOKUP(B39,'Data (TB)'!$A$6:$A$554,'Data (TB)'!$E$6:$E$554,0)/'Data (TB)'!$C$2*12</f>
        <v>0</v>
      </c>
      <c r="S39" s="62">
        <f>SUMIFS(Dave!$G$5:$G$152,Dave!$A$5:$A$152,B39)</f>
        <v>0</v>
      </c>
      <c r="T39" s="87">
        <f t="shared" si="5"/>
        <v>0</v>
      </c>
      <c r="U39" s="62">
        <f>SUMIFS(Dave!$H$5:$H$152,Dave!$A$5:$A$152,B39)</f>
        <v>0</v>
      </c>
      <c r="V39" s="87">
        <f t="shared" si="6"/>
        <v>0</v>
      </c>
      <c r="X39" s="1">
        <f>MATCH(B39,'Master Budget'!$G$4:$G$360,0)</f>
        <v>84</v>
      </c>
    </row>
    <row r="40" spans="1:24" x14ac:dyDescent="0.25">
      <c r="A40" s="1">
        <v>36</v>
      </c>
      <c r="B40" s="1" t="s">
        <v>306</v>
      </c>
      <c r="C40" s="1" t="s">
        <v>307</v>
      </c>
      <c r="D40" s="1">
        <f>_xlfn.XLOOKUP(B40,'Master Budget'!$G$4:$G$210,'Master Budget'!$D$4:$D$210,0)</f>
        <v>500</v>
      </c>
      <c r="E40" s="22">
        <v>2694.85</v>
      </c>
      <c r="F40" s="84">
        <f>SUMIFS('Data (TB)'!$E$6:$E$524,'Data (TB)'!$A$6:$A$524,'Budget Worksheet'!B40)</f>
        <v>620</v>
      </c>
      <c r="G40" s="62">
        <f t="shared" si="10"/>
        <v>1062.8571428571429</v>
      </c>
      <c r="H40" s="85">
        <v>0</v>
      </c>
      <c r="I40" s="86">
        <f t="shared" si="2"/>
        <v>1062.8571428571429</v>
      </c>
      <c r="J40" s="85">
        <v>1500</v>
      </c>
      <c r="K40" s="87">
        <f t="shared" si="3"/>
        <v>-1500</v>
      </c>
      <c r="L40" s="85">
        <v>1500</v>
      </c>
      <c r="M40" s="87">
        <f t="shared" si="4"/>
        <v>0</v>
      </c>
      <c r="N40" s="85">
        <v>1500</v>
      </c>
      <c r="O40" s="87">
        <f t="shared" si="4"/>
        <v>0</v>
      </c>
      <c r="P40" s="85">
        <v>5500</v>
      </c>
      <c r="Q40" s="87">
        <f t="shared" si="9"/>
        <v>-4000</v>
      </c>
      <c r="R40" s="62">
        <f>_xlfn.XLOOKUP(B40,'Data (TB)'!$A$6:$A$554,'Data (TB)'!$E$6:$E$554,0)/'Data (TB)'!$C$2*12</f>
        <v>826.66666666666663</v>
      </c>
      <c r="S40" s="62">
        <f>SUMIFS(Dave!$G$5:$G$152,Dave!$A$5:$A$152,B40)</f>
        <v>5500</v>
      </c>
      <c r="T40" s="87">
        <f t="shared" si="5"/>
        <v>4673.333333333333</v>
      </c>
      <c r="U40" s="62">
        <f>SUMIFS(Dave!$H$5:$H$152,Dave!$A$5:$A$152,B40)</f>
        <v>5500</v>
      </c>
      <c r="V40" s="87">
        <f t="shared" si="6"/>
        <v>-4673.333333333333</v>
      </c>
      <c r="X40" s="1">
        <f>MATCH(B40,'Master Budget'!$G$4:$G$360,0)</f>
        <v>85</v>
      </c>
    </row>
    <row r="41" spans="1:24" x14ac:dyDescent="0.25">
      <c r="A41" s="1">
        <v>37</v>
      </c>
      <c r="B41" s="1" t="s">
        <v>308</v>
      </c>
      <c r="C41" s="1" t="s">
        <v>309</v>
      </c>
      <c r="D41" s="1">
        <f>_xlfn.XLOOKUP(B41,'Master Budget'!$G$4:$G$210,'Master Budget'!$D$4:$D$210,0)</f>
        <v>500</v>
      </c>
      <c r="E41" s="22">
        <v>42569.36</v>
      </c>
      <c r="F41" s="84">
        <f>SUMIFS('Data (TB)'!$E$6:$E$524,'Data (TB)'!$A$6:$A$524,'Budget Worksheet'!B41)</f>
        <v>9310.7099999999991</v>
      </c>
      <c r="G41" s="62">
        <f t="shared" si="10"/>
        <v>15961.217142857142</v>
      </c>
      <c r="H41" s="85">
        <v>25000</v>
      </c>
      <c r="I41" s="86">
        <f t="shared" si="2"/>
        <v>-9038.7828571428581</v>
      </c>
      <c r="J41" s="85">
        <v>25000</v>
      </c>
      <c r="K41" s="87">
        <f t="shared" si="3"/>
        <v>0</v>
      </c>
      <c r="L41" s="85">
        <v>25000</v>
      </c>
      <c r="M41" s="87">
        <f t="shared" si="4"/>
        <v>0</v>
      </c>
      <c r="N41" s="85">
        <v>25000</v>
      </c>
      <c r="O41" s="87">
        <f t="shared" si="4"/>
        <v>0</v>
      </c>
      <c r="P41" s="85">
        <v>25000</v>
      </c>
      <c r="Q41" s="87">
        <f t="shared" si="9"/>
        <v>0</v>
      </c>
      <c r="R41" s="62">
        <f>_xlfn.XLOOKUP(B41,'Data (TB)'!$A$6:$A$554,'Data (TB)'!$E$6:$E$554,0)/'Data (TB)'!$C$2*12</f>
        <v>12414.279999999999</v>
      </c>
      <c r="S41" s="62">
        <f>SUMIFS(Dave!$G$5:$G$152,Dave!$A$5:$A$152,B41)</f>
        <v>25000</v>
      </c>
      <c r="T41" s="87">
        <f t="shared" si="5"/>
        <v>12585.720000000001</v>
      </c>
      <c r="U41" s="62">
        <f>SUMIFS(Dave!$H$5:$H$152,Dave!$A$5:$A$152,B41)</f>
        <v>20000</v>
      </c>
      <c r="V41" s="87">
        <f t="shared" si="6"/>
        <v>-7585.7200000000012</v>
      </c>
      <c r="X41" s="1">
        <f>MATCH(B41,'Master Budget'!$G$4:$G$360,0)</f>
        <v>87</v>
      </c>
    </row>
    <row r="42" spans="1:24" x14ac:dyDescent="0.25">
      <c r="A42" s="1">
        <v>38</v>
      </c>
      <c r="B42" s="1" t="s">
        <v>310</v>
      </c>
      <c r="C42" s="1" t="s">
        <v>311</v>
      </c>
      <c r="D42" s="1">
        <f>_xlfn.XLOOKUP(B42,'Master Budget'!$G$4:$G$210,'Master Budget'!$D$4:$D$210,0)</f>
        <v>500</v>
      </c>
      <c r="E42" s="22">
        <v>8057.8</v>
      </c>
      <c r="F42" s="84">
        <f>SUMIFS('Data (TB)'!$E$6:$E$524,'Data (TB)'!$A$6:$A$524,'Budget Worksheet'!B42)</f>
        <v>4848.12</v>
      </c>
      <c r="G42" s="62">
        <f t="shared" si="10"/>
        <v>8311.062857142857</v>
      </c>
      <c r="H42" s="85">
        <v>8000</v>
      </c>
      <c r="I42" s="86">
        <f t="shared" si="2"/>
        <v>311.06285714285696</v>
      </c>
      <c r="J42" s="85">
        <v>8000</v>
      </c>
      <c r="K42" s="87">
        <f t="shared" si="3"/>
        <v>0</v>
      </c>
      <c r="L42" s="85">
        <v>8000</v>
      </c>
      <c r="M42" s="87">
        <f t="shared" si="4"/>
        <v>0</v>
      </c>
      <c r="N42" s="85">
        <v>8000</v>
      </c>
      <c r="O42" s="87">
        <f t="shared" si="4"/>
        <v>0</v>
      </c>
      <c r="P42" s="85">
        <v>8000</v>
      </c>
      <c r="Q42" s="87">
        <f t="shared" si="9"/>
        <v>0</v>
      </c>
      <c r="R42" s="62">
        <f>_xlfn.XLOOKUP(B42,'Data (TB)'!$A$6:$A$554,'Data (TB)'!$E$6:$E$554,0)/'Data (TB)'!$C$2*12</f>
        <v>6464.16</v>
      </c>
      <c r="S42" s="62">
        <f>SUMIFS(Dave!$G$5:$G$152,Dave!$A$5:$A$152,B42)</f>
        <v>8000</v>
      </c>
      <c r="T42" s="87">
        <f t="shared" si="5"/>
        <v>1535.8400000000001</v>
      </c>
      <c r="U42" s="62">
        <f>SUMIFS(Dave!$H$5:$H$152,Dave!$A$5:$A$152,B42)</f>
        <v>8500</v>
      </c>
      <c r="V42" s="87">
        <f t="shared" si="6"/>
        <v>-2035.8400000000001</v>
      </c>
      <c r="X42" s="1">
        <f>MATCH(B42,'Master Budget'!$G$4:$G$360,0)</f>
        <v>88</v>
      </c>
    </row>
    <row r="43" spans="1:24" x14ac:dyDescent="0.25">
      <c r="A43" s="1">
        <v>39</v>
      </c>
      <c r="B43" s="1" t="s">
        <v>312</v>
      </c>
      <c r="C43" s="1" t="s">
        <v>313</v>
      </c>
      <c r="D43" s="1">
        <f>_xlfn.XLOOKUP(B43,'Master Budget'!$G$4:$G$210,'Master Budget'!$D$4:$D$210,0)</f>
        <v>500</v>
      </c>
      <c r="E43" s="22">
        <v>10650.24</v>
      </c>
      <c r="F43" s="84">
        <f>SUMIFS('Data (TB)'!$E$6:$E$524,'Data (TB)'!$A$6:$A$524,'Budget Worksheet'!B43)</f>
        <v>6718.13</v>
      </c>
      <c r="G43" s="62">
        <f t="shared" si="10"/>
        <v>11516.794285714286</v>
      </c>
      <c r="H43" s="85">
        <v>10000</v>
      </c>
      <c r="I43" s="86">
        <f t="shared" si="2"/>
        <v>1516.7942857142862</v>
      </c>
      <c r="J43" s="85">
        <v>10000</v>
      </c>
      <c r="K43" s="87">
        <f t="shared" si="3"/>
        <v>0</v>
      </c>
      <c r="L43" s="85">
        <v>20000</v>
      </c>
      <c r="M43" s="87">
        <f t="shared" si="4"/>
        <v>-10000</v>
      </c>
      <c r="N43" s="85">
        <v>10000</v>
      </c>
      <c r="O43" s="87">
        <f t="shared" si="4"/>
        <v>10000</v>
      </c>
      <c r="P43" s="85">
        <v>20000</v>
      </c>
      <c r="Q43" s="87">
        <f t="shared" si="9"/>
        <v>0</v>
      </c>
      <c r="R43" s="62">
        <f>_xlfn.XLOOKUP(B43,'Data (TB)'!$A$6:$A$554,'Data (TB)'!$E$6:$E$554,0)/'Data (TB)'!$C$2*12</f>
        <v>8957.5066666666662</v>
      </c>
      <c r="S43" s="62">
        <f>SUMIFS(Dave!$G$5:$G$152,Dave!$A$5:$A$152,B43)</f>
        <v>12570</v>
      </c>
      <c r="T43" s="87">
        <f t="shared" si="5"/>
        <v>3612.4933333333338</v>
      </c>
      <c r="U43" s="62">
        <f>SUMIFS(Dave!$H$5:$H$152,Dave!$A$5:$A$152,B43)</f>
        <v>15000</v>
      </c>
      <c r="V43" s="87">
        <f t="shared" si="6"/>
        <v>-6042.4933333333338</v>
      </c>
      <c r="X43" s="1">
        <f>MATCH(B43,'Master Budget'!$G$4:$G$360,0)</f>
        <v>89</v>
      </c>
    </row>
    <row r="44" spans="1:24" x14ac:dyDescent="0.25">
      <c r="A44" s="1">
        <v>40</v>
      </c>
      <c r="B44" s="1" t="s">
        <v>314</v>
      </c>
      <c r="C44" s="1" t="s">
        <v>315</v>
      </c>
      <c r="D44" s="1">
        <f>_xlfn.XLOOKUP(B44,'Master Budget'!$G$4:$G$210,'Master Budget'!$D$4:$D$210,0)</f>
        <v>600</v>
      </c>
      <c r="E44" s="22">
        <v>0</v>
      </c>
      <c r="F44" s="84">
        <f>SUMIFS('Data (TB)'!$E$6:$E$524,'Data (TB)'!$A$6:$A$524,'Budget Worksheet'!B44)</f>
        <v>0</v>
      </c>
      <c r="G44" s="62">
        <f t="shared" si="10"/>
        <v>0</v>
      </c>
      <c r="H44" s="85">
        <v>0</v>
      </c>
      <c r="I44" s="86">
        <f t="shared" si="2"/>
        <v>0</v>
      </c>
      <c r="J44" s="85">
        <v>0</v>
      </c>
      <c r="K44" s="87">
        <f t="shared" si="3"/>
        <v>0</v>
      </c>
      <c r="L44" s="85">
        <v>0</v>
      </c>
      <c r="M44" s="87">
        <f t="shared" si="4"/>
        <v>0</v>
      </c>
      <c r="N44" s="85">
        <v>0</v>
      </c>
      <c r="O44" s="87">
        <f t="shared" si="4"/>
        <v>0</v>
      </c>
      <c r="P44" s="85">
        <v>0</v>
      </c>
      <c r="Q44" s="87">
        <f t="shared" si="9"/>
        <v>0</v>
      </c>
      <c r="R44" s="62">
        <f>_xlfn.XLOOKUP(B44,'Data (TB)'!$A$6:$A$554,'Data (TB)'!$E$6:$E$554,0)/'Data (TB)'!$C$2*12</f>
        <v>0</v>
      </c>
      <c r="S44" s="62">
        <f>SUMIFS(Dave!$G$5:$G$152,Dave!$A$5:$A$152,B44)</f>
        <v>0</v>
      </c>
      <c r="T44" s="87">
        <f t="shared" si="5"/>
        <v>0</v>
      </c>
      <c r="U44" s="62">
        <f>SUMIFS(Dave!$H$5:$H$152,Dave!$A$5:$A$152,B44)</f>
        <v>0</v>
      </c>
      <c r="V44" s="87">
        <f t="shared" si="6"/>
        <v>0</v>
      </c>
      <c r="X44" s="1">
        <f>MATCH(B44,'Master Budget'!$G$4:$G$360,0)</f>
        <v>91</v>
      </c>
    </row>
    <row r="45" spans="1:24" x14ac:dyDescent="0.25">
      <c r="A45" s="1">
        <v>41</v>
      </c>
      <c r="B45" s="1" t="s">
        <v>316</v>
      </c>
      <c r="C45" s="1" t="s">
        <v>317</v>
      </c>
      <c r="D45" s="1">
        <f>_xlfn.XLOOKUP(B45,'Master Budget'!$G$4:$G$210,'Master Budget'!$D$4:$D$210,0)</f>
        <v>200</v>
      </c>
      <c r="E45" s="22">
        <v>0</v>
      </c>
      <c r="F45" s="84">
        <f>SUMIFS('Data (TB)'!$E$6:$E$524,'Data (TB)'!$A$6:$A$524,'Budget Worksheet'!B45)</f>
        <v>0</v>
      </c>
      <c r="G45" s="62">
        <f t="shared" si="10"/>
        <v>0</v>
      </c>
      <c r="H45" s="85">
        <v>12530</v>
      </c>
      <c r="I45" s="86">
        <f t="shared" si="2"/>
        <v>-12530</v>
      </c>
      <c r="J45" s="85">
        <v>12531</v>
      </c>
      <c r="K45" s="87">
        <f t="shared" si="3"/>
        <v>-1</v>
      </c>
      <c r="L45" s="85">
        <v>12531</v>
      </c>
      <c r="M45" s="87">
        <f t="shared" si="4"/>
        <v>0</v>
      </c>
      <c r="N45" s="85">
        <v>25574.93</v>
      </c>
      <c r="O45" s="87">
        <f t="shared" si="4"/>
        <v>-13043.93</v>
      </c>
      <c r="P45" s="85">
        <v>26070.91</v>
      </c>
      <c r="Q45" s="87">
        <f t="shared" si="9"/>
        <v>-13539.91</v>
      </c>
      <c r="R45" s="62">
        <f>_xlfn.XLOOKUP(B45,'Data (TB)'!$A$6:$A$554,'Data (TB)'!$E$6:$E$554,0)/'Data (TB)'!$C$2*12</f>
        <v>0</v>
      </c>
      <c r="S45" s="62">
        <f>SUMIFS(Dave!$G$5:$G$152,Dave!$A$5:$A$152,B45)</f>
        <v>24470.49</v>
      </c>
      <c r="T45" s="87">
        <f t="shared" si="5"/>
        <v>24470.49</v>
      </c>
      <c r="U45" s="62">
        <f>SUMIFS(Dave!$H$5:$H$152,Dave!$A$5:$A$152,B45)</f>
        <v>24470.49</v>
      </c>
      <c r="V45" s="87">
        <f t="shared" si="6"/>
        <v>-24470.49</v>
      </c>
      <c r="X45" s="1">
        <f>MATCH(B45,'Master Budget'!$G$4:$G$360,0)</f>
        <v>92</v>
      </c>
    </row>
    <row r="46" spans="1:24" x14ac:dyDescent="0.25">
      <c r="A46" s="1">
        <v>42</v>
      </c>
      <c r="B46" s="1" t="s">
        <v>318</v>
      </c>
      <c r="C46" s="1" t="s">
        <v>319</v>
      </c>
      <c r="D46" s="1">
        <f>_xlfn.XLOOKUP(B46,'Master Budget'!$G$4:$G$210,'Master Budget'!$D$4:$D$210,0)</f>
        <v>200</v>
      </c>
      <c r="E46" s="22">
        <v>0</v>
      </c>
      <c r="F46" s="84">
        <f>SUMIFS('Data (TB)'!$E$6:$E$524,'Data (TB)'!$A$6:$A$524,'Budget Worksheet'!B46)</f>
        <v>0</v>
      </c>
      <c r="G46" s="62">
        <f t="shared" si="10"/>
        <v>0</v>
      </c>
      <c r="H46" s="85">
        <v>0</v>
      </c>
      <c r="I46" s="86">
        <f t="shared" si="2"/>
        <v>0</v>
      </c>
      <c r="J46" s="85">
        <v>0</v>
      </c>
      <c r="K46" s="87">
        <f t="shared" si="3"/>
        <v>0</v>
      </c>
      <c r="L46" s="85">
        <v>0</v>
      </c>
      <c r="M46" s="87">
        <f t="shared" si="4"/>
        <v>0</v>
      </c>
      <c r="N46" s="85">
        <v>0</v>
      </c>
      <c r="O46" s="87">
        <f t="shared" si="4"/>
        <v>0</v>
      </c>
      <c r="P46" s="85">
        <v>0</v>
      </c>
      <c r="Q46" s="87">
        <f t="shared" si="9"/>
        <v>0</v>
      </c>
      <c r="R46" s="62">
        <f>_xlfn.XLOOKUP(B46,'Data (TB)'!$A$6:$A$554,'Data (TB)'!$E$6:$E$554,0)/'Data (TB)'!$C$2*12</f>
        <v>0</v>
      </c>
      <c r="S46" s="62">
        <f>SUMIFS(Dave!$G$5:$G$152,Dave!$A$5:$A$152,B46)</f>
        <v>0</v>
      </c>
      <c r="T46" s="87">
        <f t="shared" si="5"/>
        <v>0</v>
      </c>
      <c r="U46" s="62">
        <f>SUMIFS(Dave!$H$5:$H$152,Dave!$A$5:$A$152,B46)</f>
        <v>0</v>
      </c>
      <c r="V46" s="87">
        <f t="shared" si="6"/>
        <v>0</v>
      </c>
      <c r="X46" s="1">
        <f>MATCH(B46,'Master Budget'!$G$4:$G$360,0)</f>
        <v>93</v>
      </c>
    </row>
    <row r="47" spans="1:24" x14ac:dyDescent="0.25">
      <c r="A47" s="1">
        <v>43</v>
      </c>
      <c r="B47" s="1" t="s">
        <v>320</v>
      </c>
      <c r="C47" s="1" t="s">
        <v>244</v>
      </c>
      <c r="D47" s="1">
        <f>_xlfn.XLOOKUP(B47,'Master Budget'!$G$4:$G$210,'Master Budget'!$D$4:$D$210,0)</f>
        <v>200</v>
      </c>
      <c r="E47" s="22">
        <v>0</v>
      </c>
      <c r="F47" s="84">
        <f>SUMIFS('Data (TB)'!$E$6:$E$524,'Data (TB)'!$A$6:$A$524,'Budget Worksheet'!B47)</f>
        <v>0</v>
      </c>
      <c r="G47" s="62">
        <f t="shared" si="10"/>
        <v>0</v>
      </c>
      <c r="H47" s="85">
        <v>6600</v>
      </c>
      <c r="I47" s="86">
        <f t="shared" si="2"/>
        <v>-6600</v>
      </c>
      <c r="J47" s="85">
        <v>6600</v>
      </c>
      <c r="K47" s="87">
        <f t="shared" si="3"/>
        <v>0</v>
      </c>
      <c r="L47" s="85">
        <v>6600</v>
      </c>
      <c r="M47" s="87">
        <f t="shared" si="4"/>
        <v>0</v>
      </c>
      <c r="N47" s="85">
        <v>6600</v>
      </c>
      <c r="O47" s="87">
        <f t="shared" si="4"/>
        <v>0</v>
      </c>
      <c r="P47" s="85">
        <v>0</v>
      </c>
      <c r="Q47" s="87">
        <f t="shared" si="9"/>
        <v>6600</v>
      </c>
      <c r="R47" s="62">
        <f>_xlfn.XLOOKUP(B47,'Data (TB)'!$A$6:$A$554,'Data (TB)'!$E$6:$E$554,0)/'Data (TB)'!$C$2*12</f>
        <v>0</v>
      </c>
      <c r="S47" s="62">
        <f>SUMIFS(Dave!$G$5:$G$152,Dave!$A$5:$A$152,B47)</f>
        <v>0</v>
      </c>
      <c r="T47" s="87">
        <f t="shared" si="5"/>
        <v>0</v>
      </c>
      <c r="U47" s="62">
        <f>SUMIFS(Dave!$H$5:$H$152,Dave!$A$5:$A$152,B47)</f>
        <v>0</v>
      </c>
      <c r="V47" s="87">
        <f t="shared" si="6"/>
        <v>0</v>
      </c>
      <c r="X47" s="1">
        <f>MATCH(B47,'Master Budget'!$G$4:$G$360,0)</f>
        <v>94</v>
      </c>
    </row>
    <row r="48" spans="1:24" x14ac:dyDescent="0.25">
      <c r="A48" s="1">
        <v>44</v>
      </c>
      <c r="B48" s="1" t="s">
        <v>321</v>
      </c>
      <c r="C48" s="1" t="s">
        <v>322</v>
      </c>
      <c r="D48" s="1">
        <f>_xlfn.XLOOKUP(B48,'Master Budget'!$G$4:$G$210,'Master Budget'!$D$4:$D$210,0)</f>
        <v>200</v>
      </c>
      <c r="E48" s="22">
        <v>9836.75</v>
      </c>
      <c r="F48" s="84">
        <f>SUMIFS('Data (TB)'!$E$6:$E$524,'Data (TB)'!$A$6:$A$524,'Budget Worksheet'!B48)</f>
        <v>0</v>
      </c>
      <c r="G48" s="62">
        <f t="shared" si="10"/>
        <v>0</v>
      </c>
      <c r="H48" s="85">
        <v>6500</v>
      </c>
      <c r="I48" s="86">
        <f t="shared" si="2"/>
        <v>-6500</v>
      </c>
      <c r="J48" s="85">
        <v>6500</v>
      </c>
      <c r="K48" s="87">
        <f t="shared" si="3"/>
        <v>0</v>
      </c>
      <c r="L48" s="85">
        <v>0</v>
      </c>
      <c r="M48" s="87">
        <f t="shared" si="4"/>
        <v>6500</v>
      </c>
      <c r="N48" s="85">
        <v>6500</v>
      </c>
      <c r="O48" s="87">
        <f t="shared" si="4"/>
        <v>-6500</v>
      </c>
      <c r="P48" s="85">
        <v>0</v>
      </c>
      <c r="Q48" s="87">
        <f t="shared" si="9"/>
        <v>0</v>
      </c>
      <c r="R48" s="62">
        <f>_xlfn.XLOOKUP(B48,'Data (TB)'!$A$6:$A$554,'Data (TB)'!$E$6:$E$554,0)/'Data (TB)'!$C$2*12</f>
        <v>0</v>
      </c>
      <c r="S48" s="62">
        <f>SUMIFS(Dave!$G$5:$G$152,Dave!$A$5:$A$152,B48)</f>
        <v>0</v>
      </c>
      <c r="T48" s="87">
        <f t="shared" si="5"/>
        <v>0</v>
      </c>
      <c r="U48" s="62">
        <f>SUMIFS(Dave!$H$5:$H$152,Dave!$A$5:$A$152,B48)</f>
        <v>0</v>
      </c>
      <c r="V48" s="87">
        <f t="shared" si="6"/>
        <v>0</v>
      </c>
      <c r="X48" s="1">
        <f>MATCH(B48,'Master Budget'!$G$4:$G$360,0)</f>
        <v>95</v>
      </c>
    </row>
    <row r="49" spans="1:24" x14ac:dyDescent="0.25">
      <c r="A49" s="1">
        <v>45</v>
      </c>
      <c r="B49" s="1" t="s">
        <v>323</v>
      </c>
      <c r="C49" s="1" t="s">
        <v>240</v>
      </c>
      <c r="D49" s="1">
        <f>_xlfn.XLOOKUP(B49,'Master Budget'!$G$4:$G$210,'Master Budget'!$D$4:$D$210,0)</f>
        <v>970</v>
      </c>
      <c r="E49" s="22">
        <v>0</v>
      </c>
      <c r="F49" s="84">
        <f>SUMIFS('Data (TB)'!$E$6:$E$524,'Data (TB)'!$A$6:$A$524,'Budget Worksheet'!B49)</f>
        <v>0</v>
      </c>
      <c r="G49" s="62">
        <f t="shared" si="10"/>
        <v>0</v>
      </c>
      <c r="H49" s="85">
        <v>0</v>
      </c>
      <c r="I49" s="86">
        <f t="shared" si="2"/>
        <v>0</v>
      </c>
      <c r="J49" s="85">
        <v>0</v>
      </c>
      <c r="K49" s="87">
        <f t="shared" si="3"/>
        <v>0</v>
      </c>
      <c r="L49" s="85">
        <v>0</v>
      </c>
      <c r="M49" s="87">
        <f t="shared" si="4"/>
        <v>0</v>
      </c>
      <c r="N49" s="85">
        <v>0</v>
      </c>
      <c r="O49" s="87">
        <f t="shared" si="4"/>
        <v>0</v>
      </c>
      <c r="P49" s="85">
        <v>0</v>
      </c>
      <c r="Q49" s="87">
        <f t="shared" si="9"/>
        <v>0</v>
      </c>
      <c r="R49" s="62">
        <f>_xlfn.XLOOKUP(B49,'Data (TB)'!$A$6:$A$554,'Data (TB)'!$E$6:$E$554,0)/'Data (TB)'!$C$2*12</f>
        <v>0</v>
      </c>
      <c r="S49" s="62">
        <f>SUMIFS(Dave!$G$5:$G$152,Dave!$A$5:$A$152,B49)</f>
        <v>20552</v>
      </c>
      <c r="T49" s="87">
        <f t="shared" si="5"/>
        <v>20552</v>
      </c>
      <c r="U49" s="62">
        <f>SUMIFS(Dave!$H$5:$H$152,Dave!$A$5:$A$152,B49)</f>
        <v>21531.4</v>
      </c>
      <c r="V49" s="87">
        <f t="shared" si="6"/>
        <v>-21531.4</v>
      </c>
      <c r="X49" s="1">
        <f>MATCH(B49,'Master Budget'!$G$4:$G$360,0)</f>
        <v>96</v>
      </c>
    </row>
    <row r="50" spans="1:24" x14ac:dyDescent="0.25">
      <c r="A50" s="1">
        <v>46</v>
      </c>
      <c r="B50" s="1" t="s">
        <v>324</v>
      </c>
      <c r="C50" s="1" t="s">
        <v>325</v>
      </c>
      <c r="D50" s="1">
        <f>_xlfn.XLOOKUP(B50,'Master Budget'!$G$4:$G$210,'Master Budget'!$D$4:$D$210,0)</f>
        <v>620</v>
      </c>
      <c r="E50" s="22">
        <v>13845.97</v>
      </c>
      <c r="F50" s="84">
        <f>SUMIFS('Data (TB)'!$E$6:$E$524,'Data (TB)'!$A$6:$A$524,'Budget Worksheet'!B50)</f>
        <v>0</v>
      </c>
      <c r="G50" s="62">
        <f t="shared" si="10"/>
        <v>0</v>
      </c>
      <c r="H50" s="85">
        <v>9000</v>
      </c>
      <c r="I50" s="86">
        <f t="shared" si="2"/>
        <v>-9000</v>
      </c>
      <c r="J50" s="85">
        <v>9000</v>
      </c>
      <c r="K50" s="87">
        <f t="shared" si="3"/>
        <v>0</v>
      </c>
      <c r="L50" s="85">
        <v>9000</v>
      </c>
      <c r="M50" s="87">
        <f t="shared" si="4"/>
        <v>0</v>
      </c>
      <c r="N50" s="85">
        <v>9000</v>
      </c>
      <c r="O50" s="87">
        <f t="shared" si="4"/>
        <v>0</v>
      </c>
      <c r="P50" s="85">
        <v>9000</v>
      </c>
      <c r="Q50" s="87">
        <f t="shared" si="9"/>
        <v>0</v>
      </c>
      <c r="R50" s="62">
        <f>_xlfn.XLOOKUP(B50,'Data (TB)'!$A$6:$A$554,'Data (TB)'!$E$6:$E$554,0)/'Data (TB)'!$C$2*12</f>
        <v>0</v>
      </c>
      <c r="S50" s="62">
        <f>SUMIFS(Dave!$G$5:$G$152,Dave!$A$5:$A$152,B50)</f>
        <v>3918.4900000000002</v>
      </c>
      <c r="T50" s="87">
        <f t="shared" si="5"/>
        <v>3918.4900000000002</v>
      </c>
      <c r="U50" s="62">
        <f>SUMIFS(Dave!$H$5:$H$152,Dave!$A$5:$A$152,B50)</f>
        <v>2939.1</v>
      </c>
      <c r="V50" s="87">
        <f t="shared" si="6"/>
        <v>-2939.1</v>
      </c>
      <c r="X50" s="1">
        <f>MATCH(B50,'Master Budget'!$G$4:$G$360,0)</f>
        <v>97</v>
      </c>
    </row>
    <row r="51" spans="1:24" x14ac:dyDescent="0.25">
      <c r="A51" s="1">
        <v>47</v>
      </c>
      <c r="B51" s="1" t="s">
        <v>326</v>
      </c>
      <c r="C51" s="1" t="s">
        <v>327</v>
      </c>
      <c r="D51" s="1">
        <f>_xlfn.XLOOKUP(B51,'Master Budget'!$G$4:$G$210,'Master Budget'!$D$4:$D$210,0)</f>
        <v>200</v>
      </c>
      <c r="E51" s="22">
        <v>12240.74</v>
      </c>
      <c r="F51" s="84">
        <f>SUMIFS('Data (TB)'!$E$6:$E$524,'Data (TB)'!$A$6:$A$524,'Budget Worksheet'!B51)</f>
        <v>6189.78</v>
      </c>
      <c r="G51" s="62">
        <f t="shared" si="10"/>
        <v>10611.051428571427</v>
      </c>
      <c r="H51" s="85">
        <v>10000</v>
      </c>
      <c r="I51" s="86">
        <f t="shared" si="2"/>
        <v>611.0514285714271</v>
      </c>
      <c r="J51" s="85">
        <v>11000</v>
      </c>
      <c r="K51" s="87">
        <f t="shared" si="3"/>
        <v>-1000</v>
      </c>
      <c r="L51" s="85">
        <v>10000</v>
      </c>
      <c r="M51" s="87">
        <f t="shared" si="4"/>
        <v>1000</v>
      </c>
      <c r="N51" s="85">
        <v>11500</v>
      </c>
      <c r="O51" s="87">
        <f t="shared" si="4"/>
        <v>-1500</v>
      </c>
      <c r="P51" s="85">
        <v>11500</v>
      </c>
      <c r="Q51" s="87">
        <f t="shared" si="9"/>
        <v>-1500</v>
      </c>
      <c r="R51" s="62">
        <f>_xlfn.XLOOKUP(B51,'Data (TB)'!$A$6:$A$554,'Data (TB)'!$E$6:$E$554,0)/'Data (TB)'!$C$2*12</f>
        <v>8253.0400000000009</v>
      </c>
      <c r="S51" s="62">
        <f>SUMIFS(Dave!$G$5:$G$152,Dave!$A$5:$A$152,B51)</f>
        <v>11500</v>
      </c>
      <c r="T51" s="87">
        <f t="shared" si="5"/>
        <v>3246.9599999999991</v>
      </c>
      <c r="U51" s="62">
        <f>SUMIFS(Dave!$H$5:$H$152,Dave!$A$5:$A$152,B51)</f>
        <v>11500</v>
      </c>
      <c r="V51" s="87">
        <f t="shared" si="6"/>
        <v>-3246.9599999999991</v>
      </c>
      <c r="X51" s="1">
        <f>MATCH(B51,'Master Budget'!$G$4:$G$360,0)</f>
        <v>98</v>
      </c>
    </row>
    <row r="52" spans="1:24" x14ac:dyDescent="0.25">
      <c r="A52" s="1">
        <v>48</v>
      </c>
      <c r="B52" s="1" t="s">
        <v>328</v>
      </c>
      <c r="C52" s="1" t="s">
        <v>329</v>
      </c>
      <c r="D52" s="1">
        <f>_xlfn.XLOOKUP(B52,'Master Budget'!$G$4:$G$210,'Master Budget'!$D$4:$D$210,0)</f>
        <v>200</v>
      </c>
      <c r="E52" s="22">
        <v>7602.12</v>
      </c>
      <c r="F52" s="84">
        <f>SUMIFS('Data (TB)'!$E$6:$E$524,'Data (TB)'!$A$6:$A$524,'Budget Worksheet'!B52)</f>
        <v>159.57</v>
      </c>
      <c r="G52" s="62">
        <f t="shared" si="10"/>
        <v>273.54857142857145</v>
      </c>
      <c r="H52" s="85">
        <v>4500</v>
      </c>
      <c r="I52" s="86">
        <f t="shared" si="2"/>
        <v>-4226.4514285714286</v>
      </c>
      <c r="J52" s="85">
        <v>4500</v>
      </c>
      <c r="K52" s="87">
        <f t="shared" si="3"/>
        <v>0</v>
      </c>
      <c r="L52" s="85">
        <v>4500</v>
      </c>
      <c r="M52" s="87">
        <f t="shared" si="4"/>
        <v>0</v>
      </c>
      <c r="N52" s="85">
        <v>4500</v>
      </c>
      <c r="O52" s="87">
        <f t="shared" si="4"/>
        <v>0</v>
      </c>
      <c r="P52" s="85">
        <v>4500</v>
      </c>
      <c r="Q52" s="87">
        <f t="shared" si="9"/>
        <v>0</v>
      </c>
      <c r="R52" s="62">
        <f>_xlfn.XLOOKUP(B52,'Data (TB)'!$A$6:$A$554,'Data (TB)'!$E$6:$E$554,0)/'Data (TB)'!$C$2*12</f>
        <v>212.76</v>
      </c>
      <c r="S52" s="62">
        <f>SUMIFS(Dave!$G$5:$G$152,Dave!$A$5:$A$152,B52)</f>
        <v>4500</v>
      </c>
      <c r="T52" s="87">
        <f t="shared" si="5"/>
        <v>4287.24</v>
      </c>
      <c r="U52" s="62">
        <f>SUMIFS(Dave!$H$5:$H$152,Dave!$A$5:$A$152,B52)</f>
        <v>4500</v>
      </c>
      <c r="V52" s="87">
        <f t="shared" si="6"/>
        <v>-4287.24</v>
      </c>
      <c r="X52" s="1">
        <f>MATCH(B52,'Master Budget'!$G$4:$G$360,0)</f>
        <v>99</v>
      </c>
    </row>
    <row r="53" spans="1:24" x14ac:dyDescent="0.25">
      <c r="A53" s="1">
        <v>49</v>
      </c>
      <c r="B53" s="1" t="s">
        <v>330</v>
      </c>
      <c r="C53" s="1" t="s">
        <v>331</v>
      </c>
      <c r="D53" s="1">
        <f>_xlfn.XLOOKUP(B53,'Master Budget'!$G$4:$G$210,'Master Budget'!$D$4:$D$210,0)</f>
        <v>200</v>
      </c>
      <c r="E53" s="22">
        <v>100</v>
      </c>
      <c r="F53" s="84">
        <f>SUMIFS('Data (TB)'!$E$6:$E$524,'Data (TB)'!$A$6:$A$524,'Budget Worksheet'!B53)</f>
        <v>6870.67</v>
      </c>
      <c r="G53" s="62">
        <f t="shared" si="10"/>
        <v>11778.291428571429</v>
      </c>
      <c r="H53" s="85">
        <v>6000</v>
      </c>
      <c r="I53" s="86">
        <f t="shared" si="2"/>
        <v>5778.2914285714287</v>
      </c>
      <c r="J53" s="85">
        <v>9300</v>
      </c>
      <c r="K53" s="87">
        <f t="shared" si="3"/>
        <v>-3300</v>
      </c>
      <c r="L53" s="85">
        <v>8000</v>
      </c>
      <c r="M53" s="87">
        <f t="shared" si="4"/>
        <v>1300</v>
      </c>
      <c r="N53" s="85">
        <v>9500</v>
      </c>
      <c r="O53" s="87">
        <f t="shared" si="4"/>
        <v>-1500</v>
      </c>
      <c r="P53" s="85">
        <v>11000</v>
      </c>
      <c r="Q53" s="87">
        <f t="shared" si="9"/>
        <v>-3000</v>
      </c>
      <c r="R53" s="62">
        <f>_xlfn.XLOOKUP(B53,'Data (TB)'!$A$6:$A$554,'Data (TB)'!$E$6:$E$554,0)/'Data (TB)'!$C$2*12</f>
        <v>9160.8933333333334</v>
      </c>
      <c r="S53" s="62">
        <f>SUMIFS(Dave!$G$5:$G$152,Dave!$A$5:$A$152,B53)</f>
        <v>11000</v>
      </c>
      <c r="T53" s="87">
        <f t="shared" si="5"/>
        <v>1839.1066666666666</v>
      </c>
      <c r="U53" s="62">
        <f>SUMIFS(Dave!$H$5:$H$152,Dave!$A$5:$A$152,B53)</f>
        <v>11000</v>
      </c>
      <c r="V53" s="87">
        <f t="shared" si="6"/>
        <v>-1839.1066666666666</v>
      </c>
      <c r="X53" s="1">
        <f>MATCH(B53,'Master Budget'!$G$4:$G$360,0)</f>
        <v>102</v>
      </c>
    </row>
    <row r="54" spans="1:24" x14ac:dyDescent="0.25">
      <c r="A54" s="1">
        <v>50</v>
      </c>
      <c r="B54" s="1" t="s">
        <v>332</v>
      </c>
      <c r="C54" s="1" t="s">
        <v>333</v>
      </c>
      <c r="D54" s="1">
        <f>_xlfn.XLOOKUP(B54,'Master Budget'!$G$4:$G$210,'Master Budget'!$D$4:$D$210,0)</f>
        <v>200</v>
      </c>
      <c r="E54" s="22">
        <v>49412</v>
      </c>
      <c r="F54" s="84">
        <f>SUMIFS('Data (TB)'!$E$6:$E$524,'Data (TB)'!$A$6:$A$524,'Budget Worksheet'!B54)</f>
        <v>0</v>
      </c>
      <c r="G54" s="62">
        <f t="shared" si="10"/>
        <v>0</v>
      </c>
      <c r="H54" s="85">
        <v>5000</v>
      </c>
      <c r="I54" s="86">
        <f t="shared" si="2"/>
        <v>-5000</v>
      </c>
      <c r="J54" s="85">
        <v>5000</v>
      </c>
      <c r="K54" s="87">
        <f t="shared" si="3"/>
        <v>0</v>
      </c>
      <c r="L54" s="85">
        <v>5000</v>
      </c>
      <c r="M54" s="87">
        <f t="shared" si="4"/>
        <v>0</v>
      </c>
      <c r="N54" s="85">
        <v>5000</v>
      </c>
      <c r="O54" s="87">
        <f t="shared" si="4"/>
        <v>0</v>
      </c>
      <c r="P54" s="85">
        <v>2000</v>
      </c>
      <c r="Q54" s="87">
        <f t="shared" si="9"/>
        <v>3000</v>
      </c>
      <c r="R54" s="62">
        <f>_xlfn.XLOOKUP(B54,'Data (TB)'!$A$6:$A$554,'Data (TB)'!$E$6:$E$554,0)/'Data (TB)'!$C$2*12</f>
        <v>0</v>
      </c>
      <c r="S54" s="62">
        <f>SUMIFS(Dave!$G$5:$G$152,Dave!$A$5:$A$152,B54)</f>
        <v>2000</v>
      </c>
      <c r="T54" s="87">
        <f t="shared" si="5"/>
        <v>2000</v>
      </c>
      <c r="U54" s="62">
        <f>SUMIFS(Dave!$H$5:$H$152,Dave!$A$5:$A$152,B54)</f>
        <v>2000</v>
      </c>
      <c r="V54" s="87">
        <f t="shared" si="6"/>
        <v>-2000</v>
      </c>
      <c r="X54" s="1">
        <f>MATCH(B54,'Master Budget'!$G$4:$G$360,0)</f>
        <v>103</v>
      </c>
    </row>
    <row r="55" spans="1:24" x14ac:dyDescent="0.25">
      <c r="A55" s="1">
        <v>51</v>
      </c>
      <c r="B55" s="1" t="s">
        <v>334</v>
      </c>
      <c r="C55" s="1" t="s">
        <v>335</v>
      </c>
      <c r="D55" s="1">
        <f>_xlfn.XLOOKUP(B55,'Master Budget'!$G$4:$G$210,'Master Budget'!$D$4:$D$210,0)</f>
        <v>200</v>
      </c>
      <c r="E55" s="22">
        <v>32</v>
      </c>
      <c r="F55" s="84">
        <f>SUMIFS('Data (TB)'!$E$6:$E$524,'Data (TB)'!$A$6:$A$524,'Budget Worksheet'!B55)</f>
        <v>674.79</v>
      </c>
      <c r="G55" s="62">
        <f t="shared" si="10"/>
        <v>1156.7828571428572</v>
      </c>
      <c r="H55" s="85">
        <v>2000</v>
      </c>
      <c r="I55" s="86">
        <f t="shared" si="2"/>
        <v>-843.21714285714279</v>
      </c>
      <c r="J55" s="85">
        <v>2000</v>
      </c>
      <c r="K55" s="87">
        <f t="shared" si="3"/>
        <v>0</v>
      </c>
      <c r="L55" s="85">
        <v>2000</v>
      </c>
      <c r="M55" s="87">
        <f t="shared" si="4"/>
        <v>0</v>
      </c>
      <c r="N55" s="85">
        <v>1000</v>
      </c>
      <c r="O55" s="87">
        <f t="shared" si="4"/>
        <v>1000</v>
      </c>
      <c r="P55" s="85">
        <v>2000</v>
      </c>
      <c r="Q55" s="87">
        <f t="shared" si="9"/>
        <v>0</v>
      </c>
      <c r="R55" s="62">
        <f>_xlfn.XLOOKUP(B55,'Data (TB)'!$A$6:$A$554,'Data (TB)'!$E$6:$E$554,0)/'Data (TB)'!$C$2*12</f>
        <v>899.71999999999991</v>
      </c>
      <c r="S55" s="62">
        <f>SUMIFS(Dave!$G$5:$G$152,Dave!$A$5:$A$152,B55)</f>
        <v>2000</v>
      </c>
      <c r="T55" s="87">
        <f t="shared" si="5"/>
        <v>1100.2800000000002</v>
      </c>
      <c r="U55" s="62">
        <f>SUMIFS(Dave!$H$5:$H$152,Dave!$A$5:$A$152,B55)</f>
        <v>2000</v>
      </c>
      <c r="V55" s="87">
        <f t="shared" si="6"/>
        <v>-1100.2800000000002</v>
      </c>
      <c r="X55" s="1">
        <f>MATCH(B55,'Master Budget'!$G$4:$G$360,0)</f>
        <v>104</v>
      </c>
    </row>
    <row r="56" spans="1:24" x14ac:dyDescent="0.25">
      <c r="A56" s="1">
        <v>52</v>
      </c>
      <c r="B56" s="1" t="s">
        <v>336</v>
      </c>
      <c r="C56" s="1" t="s">
        <v>337</v>
      </c>
      <c r="D56" s="1">
        <f>_xlfn.XLOOKUP(B56,'Master Budget'!$G$4:$G$210,'Master Budget'!$D$4:$D$210,0)</f>
        <v>200</v>
      </c>
      <c r="E56" s="22">
        <v>1851.45</v>
      </c>
      <c r="F56" s="84">
        <f>SUMIFS('Data (TB)'!$E$6:$E$524,'Data (TB)'!$A$6:$A$524,'Budget Worksheet'!B56)</f>
        <v>3361.38</v>
      </c>
      <c r="G56" s="62">
        <f t="shared" si="10"/>
        <v>5762.3657142857146</v>
      </c>
      <c r="H56" s="85">
        <v>0</v>
      </c>
      <c r="I56" s="86">
        <f t="shared" si="2"/>
        <v>5762.3657142857146</v>
      </c>
      <c r="J56" s="85">
        <v>2400</v>
      </c>
      <c r="K56" s="87">
        <f t="shared" si="3"/>
        <v>-2400</v>
      </c>
      <c r="L56" s="85">
        <v>0</v>
      </c>
      <c r="M56" s="87">
        <f t="shared" si="4"/>
        <v>2400</v>
      </c>
      <c r="N56" s="85">
        <v>1200</v>
      </c>
      <c r="O56" s="87">
        <f t="shared" si="4"/>
        <v>-1200</v>
      </c>
      <c r="P56" s="85">
        <v>1000</v>
      </c>
      <c r="Q56" s="87">
        <f t="shared" si="9"/>
        <v>-1000</v>
      </c>
      <c r="R56" s="62">
        <f>_xlfn.XLOOKUP(B56,'Data (TB)'!$A$6:$A$554,'Data (TB)'!$E$6:$E$554,0)/'Data (TB)'!$C$2*12</f>
        <v>4481.84</v>
      </c>
      <c r="S56" s="62">
        <f>SUMIFS(Dave!$G$5:$G$152,Dave!$A$5:$A$152,B56)</f>
        <v>5000</v>
      </c>
      <c r="T56" s="87">
        <f t="shared" si="5"/>
        <v>518.15999999999985</v>
      </c>
      <c r="U56" s="62">
        <f>SUMIFS(Dave!$H$5:$H$152,Dave!$A$5:$A$152,B56)</f>
        <v>2500</v>
      </c>
      <c r="V56" s="87">
        <f t="shared" si="6"/>
        <v>1981.8400000000001</v>
      </c>
      <c r="X56" s="1">
        <f>MATCH(B56,'Master Budget'!$G$4:$G$360,0)</f>
        <v>105</v>
      </c>
    </row>
    <row r="57" spans="1:24" x14ac:dyDescent="0.25">
      <c r="A57" s="1">
        <v>53</v>
      </c>
      <c r="B57" s="1" t="s">
        <v>338</v>
      </c>
      <c r="C57" s="1" t="s">
        <v>339</v>
      </c>
      <c r="D57" s="1">
        <f>_xlfn.XLOOKUP(B57,'Master Budget'!$G$4:$G$210,'Master Budget'!$D$4:$D$210,0)</f>
        <v>200</v>
      </c>
      <c r="E57" s="22">
        <v>0</v>
      </c>
      <c r="F57" s="84">
        <f>SUMIFS('Data (TB)'!$E$6:$E$524,'Data (TB)'!$A$6:$A$524,'Budget Worksheet'!B57)</f>
        <v>0</v>
      </c>
      <c r="G57" s="62">
        <f t="shared" si="10"/>
        <v>0</v>
      </c>
      <c r="H57" s="85">
        <v>0</v>
      </c>
      <c r="I57" s="86">
        <f t="shared" si="2"/>
        <v>0</v>
      </c>
      <c r="J57" s="85">
        <v>0</v>
      </c>
      <c r="K57" s="87">
        <f t="shared" si="3"/>
        <v>0</v>
      </c>
      <c r="L57" s="85">
        <v>0</v>
      </c>
      <c r="M57" s="87">
        <f t="shared" si="4"/>
        <v>0</v>
      </c>
      <c r="N57" s="85">
        <v>0</v>
      </c>
      <c r="O57" s="87">
        <f t="shared" si="4"/>
        <v>0</v>
      </c>
      <c r="P57" s="85">
        <v>0</v>
      </c>
      <c r="Q57" s="87">
        <f t="shared" si="9"/>
        <v>0</v>
      </c>
      <c r="R57" s="62">
        <f>_xlfn.XLOOKUP(B57,'Data (TB)'!$A$6:$A$554,'Data (TB)'!$E$6:$E$554,0)/'Data (TB)'!$C$2*12</f>
        <v>0</v>
      </c>
      <c r="S57" s="62">
        <f>SUMIFS(Dave!$G$5:$G$152,Dave!$A$5:$A$152,B57)</f>
        <v>0</v>
      </c>
      <c r="T57" s="87">
        <f t="shared" si="5"/>
        <v>0</v>
      </c>
      <c r="U57" s="62">
        <f>SUMIFS(Dave!$H$5:$H$152,Dave!$A$5:$A$152,B57)</f>
        <v>0</v>
      </c>
      <c r="V57" s="87">
        <f t="shared" si="6"/>
        <v>0</v>
      </c>
      <c r="X57" s="1">
        <f>MATCH(B57,'Master Budget'!$G$4:$G$360,0)</f>
        <v>106</v>
      </c>
    </row>
    <row r="58" spans="1:24" x14ac:dyDescent="0.25">
      <c r="A58" s="1">
        <v>54</v>
      </c>
      <c r="B58" s="1" t="s">
        <v>340</v>
      </c>
      <c r="C58" s="1" t="s">
        <v>43</v>
      </c>
      <c r="D58" s="1">
        <f>_xlfn.XLOOKUP(B58,'Master Budget'!$G$4:$G$210,'Master Budget'!$D$4:$D$210,0)</f>
        <v>700</v>
      </c>
      <c r="E58" s="22">
        <v>95746.37</v>
      </c>
      <c r="F58" s="84">
        <f>SUMIFS('Data (TB)'!$E$6:$E$524,'Data (TB)'!$A$6:$A$524,'Budget Worksheet'!B58)</f>
        <v>46515.5</v>
      </c>
      <c r="G58" s="62">
        <f t="shared" si="10"/>
        <v>79740.857142857145</v>
      </c>
      <c r="H58" s="85">
        <v>110000</v>
      </c>
      <c r="I58" s="86">
        <f t="shared" si="2"/>
        <v>-30259.142857142855</v>
      </c>
      <c r="J58" s="85">
        <v>110000</v>
      </c>
      <c r="K58" s="87">
        <f t="shared" si="3"/>
        <v>0</v>
      </c>
      <c r="L58" s="85">
        <v>110000</v>
      </c>
      <c r="M58" s="87">
        <f t="shared" si="4"/>
        <v>0</v>
      </c>
      <c r="N58" s="85">
        <v>110000</v>
      </c>
      <c r="O58" s="87">
        <f t="shared" si="4"/>
        <v>0</v>
      </c>
      <c r="P58" s="85">
        <v>110000</v>
      </c>
      <c r="Q58" s="87">
        <f t="shared" si="9"/>
        <v>0</v>
      </c>
      <c r="R58" s="62">
        <f>_xlfn.XLOOKUP(B58,'Data (TB)'!$A$6:$A$554,'Data (TB)'!$E$6:$E$554,0)/'Data (TB)'!$C$2*12</f>
        <v>62020.666666666664</v>
      </c>
      <c r="S58" s="62">
        <f>SUMIFS(Dave!$G$5:$G$152,Dave!$A$5:$A$152,B58)</f>
        <v>110000</v>
      </c>
      <c r="T58" s="87">
        <f t="shared" si="5"/>
        <v>47979.333333333336</v>
      </c>
      <c r="U58" s="62">
        <f>SUMIFS(Dave!$H$5:$H$152,Dave!$A$5:$A$152,B58)</f>
        <v>110000</v>
      </c>
      <c r="V58" s="87">
        <f t="shared" si="6"/>
        <v>-47979.333333333336</v>
      </c>
      <c r="X58" s="1">
        <f>MATCH(B58,'Master Budget'!$G$4:$G$360,0)</f>
        <v>107</v>
      </c>
    </row>
    <row r="59" spans="1:24" x14ac:dyDescent="0.25">
      <c r="A59" s="126">
        <v>55</v>
      </c>
      <c r="B59" s="126" t="s">
        <v>341</v>
      </c>
      <c r="C59" s="126" t="s">
        <v>882</v>
      </c>
      <c r="D59" s="126">
        <f>_xlfn.XLOOKUP(B59,'Master Budget'!$G$4:$G$210,'Master Budget'!$D$4:$D$210,0)</f>
        <v>710</v>
      </c>
      <c r="E59" s="127">
        <v>324.99</v>
      </c>
      <c r="F59" s="128">
        <f>SUMIFS('Data (TB)'!$E$6:$E$524,'Data (TB)'!$A$6:$A$524,'Budget Worksheet'!B59)</f>
        <v>0</v>
      </c>
      <c r="G59" s="129">
        <f>F59</f>
        <v>0</v>
      </c>
      <c r="H59" s="130">
        <v>0</v>
      </c>
      <c r="I59" s="131">
        <f t="shared" si="2"/>
        <v>0</v>
      </c>
      <c r="J59" s="130">
        <v>0</v>
      </c>
      <c r="K59" s="132">
        <f t="shared" si="3"/>
        <v>0</v>
      </c>
      <c r="L59" s="130">
        <v>14000000</v>
      </c>
      <c r="M59" s="132">
        <f t="shared" si="4"/>
        <v>-14000000</v>
      </c>
      <c r="N59" s="130">
        <v>0</v>
      </c>
      <c r="O59" s="132">
        <f t="shared" si="4"/>
        <v>14000000</v>
      </c>
      <c r="P59" s="130">
        <v>0</v>
      </c>
      <c r="Q59" s="132">
        <f t="shared" si="9"/>
        <v>14000000</v>
      </c>
      <c r="R59" s="62">
        <f>_xlfn.XLOOKUP(B59,'Data (TB)'!$A$6:$A$554,'Data (TB)'!$E$6:$E$554,0)/'Data (TB)'!$C$2*12</f>
        <v>0</v>
      </c>
      <c r="S59" s="129">
        <f>_xlfn.XLOOKUP(B59,'27 Capital Budget'!$N$6:$N$11,'27 Capital Budget'!$U$6:$U$11,0)</f>
        <v>0</v>
      </c>
      <c r="T59" s="87">
        <f t="shared" si="5"/>
        <v>0</v>
      </c>
      <c r="U59" s="129">
        <f>_xlfn.XLOOKUP(B59,'27 Capital Budget'!$N$6:$N$11,'27 Capital Budget'!$V$6:$V$11,0)</f>
        <v>0</v>
      </c>
      <c r="V59" s="132">
        <f t="shared" si="6"/>
        <v>0</v>
      </c>
      <c r="X59" s="1">
        <f>MATCH(B59,'Master Budget'!$G$4:$G$360,0)</f>
        <v>108</v>
      </c>
    </row>
    <row r="60" spans="1:24" x14ac:dyDescent="0.25">
      <c r="A60" s="126">
        <v>56</v>
      </c>
      <c r="B60" s="126" t="s">
        <v>343</v>
      </c>
      <c r="C60" s="126" t="s">
        <v>344</v>
      </c>
      <c r="D60" s="126">
        <f>_xlfn.XLOOKUP(B60,'Master Budget'!$G$4:$G$210,'Master Budget'!$D$4:$D$210,0)</f>
        <v>710</v>
      </c>
      <c r="E60" s="127">
        <v>0</v>
      </c>
      <c r="F60" s="128">
        <f>SUMIFS('Data (TB)'!$E$6:$E$524,'Data (TB)'!$A$6:$A$524,'Budget Worksheet'!B60)</f>
        <v>0</v>
      </c>
      <c r="G60" s="129">
        <f t="shared" ref="G60:G96" si="11">F60/$G$1*12</f>
        <v>0</v>
      </c>
      <c r="H60" s="130">
        <v>40000</v>
      </c>
      <c r="I60" s="131">
        <f t="shared" si="2"/>
        <v>-40000</v>
      </c>
      <c r="J60" s="130">
        <v>40000</v>
      </c>
      <c r="K60" s="132">
        <f t="shared" si="3"/>
        <v>0</v>
      </c>
      <c r="L60" s="130">
        <v>295000</v>
      </c>
      <c r="M60" s="132">
        <f t="shared" si="4"/>
        <v>-255000</v>
      </c>
      <c r="N60" s="130">
        <v>295000</v>
      </c>
      <c r="O60" s="132">
        <f t="shared" si="4"/>
        <v>0</v>
      </c>
      <c r="P60" s="130">
        <v>0</v>
      </c>
      <c r="Q60" s="132">
        <f t="shared" si="9"/>
        <v>295000</v>
      </c>
      <c r="R60" s="62">
        <f>_xlfn.XLOOKUP(B60,'Data (TB)'!$A$6:$A$554,'Data (TB)'!$E$6:$E$554,0)/'Data (TB)'!$C$2*12</f>
        <v>0</v>
      </c>
      <c r="S60" s="129">
        <f>_xlfn.XLOOKUP(B60,'27 Capital Budget'!$N$6:$N$11,'27 Capital Budget'!$U$6:$U$11,0)</f>
        <v>0</v>
      </c>
      <c r="T60" s="87">
        <f t="shared" si="5"/>
        <v>0</v>
      </c>
      <c r="U60" s="129">
        <f>_xlfn.XLOOKUP(B60,'27 Capital Budget'!$N$6:$N$11,'27 Capital Budget'!$V$6:$V$11,0)</f>
        <v>619000</v>
      </c>
      <c r="V60" s="132">
        <f t="shared" si="6"/>
        <v>-619000</v>
      </c>
      <c r="X60" s="1">
        <f>MATCH(B60,'Master Budget'!$G$4:$G$360,0)</f>
        <v>109</v>
      </c>
    </row>
    <row r="61" spans="1:24" x14ac:dyDescent="0.25">
      <c r="A61" s="1">
        <v>57</v>
      </c>
      <c r="B61" s="1" t="s">
        <v>345</v>
      </c>
      <c r="C61" s="1" t="s">
        <v>1114</v>
      </c>
      <c r="D61" s="1">
        <f>_xlfn.XLOOKUP(B61,'Master Budget'!$G$4:$G$210,'Master Budget'!$D$4:$D$210,0)</f>
        <v>0</v>
      </c>
      <c r="E61" s="22">
        <v>0</v>
      </c>
      <c r="F61" s="84">
        <f>SUMIFS('Data (TB)'!$E$6:$E$524,'Data (TB)'!$A$6:$A$524,'Budget Worksheet'!B61)</f>
        <v>0</v>
      </c>
      <c r="G61" s="62">
        <f t="shared" si="11"/>
        <v>0</v>
      </c>
      <c r="H61" s="85">
        <v>0</v>
      </c>
      <c r="I61" s="86">
        <f t="shared" si="2"/>
        <v>0</v>
      </c>
      <c r="J61" s="85">
        <v>0</v>
      </c>
      <c r="K61" s="87">
        <f t="shared" si="3"/>
        <v>0</v>
      </c>
      <c r="L61" s="85">
        <v>0</v>
      </c>
      <c r="M61" s="87">
        <f t="shared" si="4"/>
        <v>0</v>
      </c>
      <c r="N61" s="85">
        <v>0</v>
      </c>
      <c r="O61" s="87">
        <f t="shared" si="4"/>
        <v>0</v>
      </c>
      <c r="P61" s="85">
        <v>0</v>
      </c>
      <c r="Q61" s="87">
        <f t="shared" si="9"/>
        <v>0</v>
      </c>
      <c r="R61" s="62">
        <f>_xlfn.XLOOKUP(B61,'Data (TB)'!$A$6:$A$554,'Data (TB)'!$E$6:$E$554,0)/'Data (TB)'!$C$2*12</f>
        <v>0</v>
      </c>
      <c r="S61" s="62">
        <f>SUMIFS(Dave!$G$5:$G$152,Dave!$A$5:$A$152,B61)</f>
        <v>0</v>
      </c>
      <c r="T61" s="87">
        <f t="shared" si="5"/>
        <v>0</v>
      </c>
      <c r="U61" s="62">
        <f>SUMIFS(Dave!$H$5:$H$152,Dave!$A$5:$A$152,B61)</f>
        <v>0</v>
      </c>
      <c r="V61" s="87">
        <f t="shared" si="6"/>
        <v>0</v>
      </c>
      <c r="X61" s="1" t="e">
        <f>MATCH(B61,'Master Budget'!$G$4:$G$360,0)</f>
        <v>#N/A</v>
      </c>
    </row>
    <row r="62" spans="1:24" x14ac:dyDescent="0.25">
      <c r="A62" s="1">
        <v>58</v>
      </c>
      <c r="B62" s="1" t="s">
        <v>347</v>
      </c>
      <c r="C62" s="1" t="s">
        <v>348</v>
      </c>
      <c r="D62" s="1">
        <f>_xlfn.XLOOKUP(B62,'Master Budget'!$G$4:$G$210,'Master Budget'!$D$4:$D$210,0)</f>
        <v>200</v>
      </c>
      <c r="E62" s="22">
        <v>48219.86</v>
      </c>
      <c r="F62" s="84">
        <f>SUMIFS('Data (TB)'!$E$6:$E$524,'Data (TB)'!$A$6:$A$524,'Budget Worksheet'!B62)</f>
        <v>5036.1099999999997</v>
      </c>
      <c r="G62" s="62">
        <f t="shared" si="11"/>
        <v>8633.3314285714278</v>
      </c>
      <c r="H62" s="85">
        <v>50000</v>
      </c>
      <c r="I62" s="86">
        <f t="shared" si="2"/>
        <v>-41366.66857142857</v>
      </c>
      <c r="J62" s="85">
        <v>50000</v>
      </c>
      <c r="K62" s="87">
        <f t="shared" si="3"/>
        <v>0</v>
      </c>
      <c r="L62" s="85">
        <v>50000</v>
      </c>
      <c r="M62" s="87">
        <f t="shared" si="4"/>
        <v>0</v>
      </c>
      <c r="N62" s="85">
        <v>25000</v>
      </c>
      <c r="O62" s="87">
        <f t="shared" si="4"/>
        <v>25000</v>
      </c>
      <c r="P62" s="85">
        <v>40000</v>
      </c>
      <c r="Q62" s="87">
        <f t="shared" si="9"/>
        <v>10000</v>
      </c>
      <c r="R62" s="62">
        <f>_xlfn.XLOOKUP(B62,'Data (TB)'!$A$6:$A$554,'Data (TB)'!$E$6:$E$554,0)/'Data (TB)'!$C$2*12</f>
        <v>6714.8133333333335</v>
      </c>
      <c r="S62" s="62">
        <f>SUMIFS(Dave!$G$5:$G$152,Dave!$A$5:$A$152,B62)</f>
        <v>20000</v>
      </c>
      <c r="T62" s="87">
        <f t="shared" si="5"/>
        <v>13285.186666666666</v>
      </c>
      <c r="U62" s="62">
        <f>SUMIFS(Dave!$H$5:$H$152,Dave!$A$5:$A$152,B62)</f>
        <v>20000</v>
      </c>
      <c r="V62" s="87">
        <f t="shared" si="6"/>
        <v>-13285.186666666666</v>
      </c>
      <c r="X62" s="1">
        <f>MATCH(B62,'Master Budget'!$G$4:$G$360,0)</f>
        <v>110</v>
      </c>
    </row>
    <row r="63" spans="1:24" x14ac:dyDescent="0.25">
      <c r="A63" s="1">
        <v>59</v>
      </c>
      <c r="B63" s="1" t="s">
        <v>349</v>
      </c>
      <c r="C63" s="1" t="s">
        <v>350</v>
      </c>
      <c r="D63" s="1">
        <f>_xlfn.XLOOKUP(B63,'Master Budget'!$G$4:$G$210,'Master Budget'!$D$4:$D$210,0)</f>
        <v>200</v>
      </c>
      <c r="E63" s="22">
        <v>124.6</v>
      </c>
      <c r="F63" s="84">
        <f>SUMIFS('Data (TB)'!$E$6:$E$524,'Data (TB)'!$A$6:$A$524,'Budget Worksheet'!B63)</f>
        <v>19187.28</v>
      </c>
      <c r="G63" s="62">
        <f t="shared" si="11"/>
        <v>32892.479999999996</v>
      </c>
      <c r="H63" s="85">
        <v>40000</v>
      </c>
      <c r="I63" s="86">
        <f t="shared" si="2"/>
        <v>-7107.5200000000041</v>
      </c>
      <c r="J63" s="85">
        <v>40000</v>
      </c>
      <c r="K63" s="87">
        <f t="shared" si="3"/>
        <v>0</v>
      </c>
      <c r="L63" s="85">
        <v>40000</v>
      </c>
      <c r="M63" s="87">
        <f t="shared" si="4"/>
        <v>0</v>
      </c>
      <c r="N63" s="85">
        <v>40000</v>
      </c>
      <c r="O63" s="87">
        <f t="shared" si="4"/>
        <v>0</v>
      </c>
      <c r="P63" s="85">
        <v>25000</v>
      </c>
      <c r="Q63" s="87">
        <f t="shared" si="9"/>
        <v>15000</v>
      </c>
      <c r="R63" s="62">
        <f>_xlfn.XLOOKUP(B63,'Data (TB)'!$A$6:$A$554,'Data (TB)'!$E$6:$E$554,0)/'Data (TB)'!$C$2*12</f>
        <v>25583.040000000001</v>
      </c>
      <c r="S63" s="62">
        <f>SUMIFS(Dave!$G$5:$G$152,Dave!$A$5:$A$152,B63)</f>
        <v>25000</v>
      </c>
      <c r="T63" s="87">
        <f t="shared" si="5"/>
        <v>-583.04000000000087</v>
      </c>
      <c r="U63" s="62">
        <f>SUMIFS(Dave!$H$5:$H$152,Dave!$A$5:$A$152,B63)</f>
        <v>15000</v>
      </c>
      <c r="V63" s="87">
        <f t="shared" si="6"/>
        <v>10583.04</v>
      </c>
      <c r="X63" s="1">
        <f>MATCH(B63,'Master Budget'!$G$4:$G$360,0)</f>
        <v>112</v>
      </c>
    </row>
    <row r="64" spans="1:24" ht="15.75" thickBot="1" x14ac:dyDescent="0.3">
      <c r="A64" s="88">
        <v>60</v>
      </c>
      <c r="B64" s="88" t="s">
        <v>351</v>
      </c>
      <c r="C64" s="88" t="s">
        <v>164</v>
      </c>
      <c r="D64" s="88">
        <f>_xlfn.XLOOKUP(B64,'Master Budget'!$G$4:$G$210,'Master Budget'!$D$4:$D$210,0)</f>
        <v>720</v>
      </c>
      <c r="E64" s="89">
        <v>0</v>
      </c>
      <c r="F64" s="90">
        <f>SUMIFS('Data (TB)'!$E$6:$E$524,'Data (TB)'!$A$6:$A$524,'Budget Worksheet'!B64)</f>
        <v>0</v>
      </c>
      <c r="G64" s="91">
        <f t="shared" si="11"/>
        <v>0</v>
      </c>
      <c r="H64" s="92">
        <v>0</v>
      </c>
      <c r="I64" s="93">
        <f t="shared" si="2"/>
        <v>0</v>
      </c>
      <c r="J64" s="92">
        <v>0</v>
      </c>
      <c r="K64" s="94">
        <f t="shared" si="3"/>
        <v>0</v>
      </c>
      <c r="L64" s="92">
        <v>0</v>
      </c>
      <c r="M64" s="94">
        <f t="shared" si="4"/>
        <v>0</v>
      </c>
      <c r="N64" s="92">
        <v>0</v>
      </c>
      <c r="O64" s="94">
        <f t="shared" si="4"/>
        <v>0</v>
      </c>
      <c r="P64" s="92">
        <v>0</v>
      </c>
      <c r="Q64" s="94">
        <f t="shared" si="9"/>
        <v>0</v>
      </c>
      <c r="R64" s="62">
        <f>_xlfn.XLOOKUP(B64,'Data (TB)'!$A$6:$A$554,'Data (TB)'!$E$6:$E$554,0)/'Data (TB)'!$C$2*12</f>
        <v>0</v>
      </c>
      <c r="S64" s="91">
        <f>SUMIFS(Dave!$G$5:$G$152,Dave!$A$5:$A$152,B64)</f>
        <v>0</v>
      </c>
      <c r="T64" s="87">
        <f t="shared" si="5"/>
        <v>0</v>
      </c>
      <c r="U64" s="91">
        <f>SUMIFS(Dave!$H$5:$H$152,Dave!$A$5:$A$152,B64)</f>
        <v>0</v>
      </c>
      <c r="V64" s="94">
        <f t="shared" si="6"/>
        <v>0</v>
      </c>
      <c r="X64" s="1">
        <f>MATCH(B64,'Master Budget'!$G$4:$G$360,0)</f>
        <v>113</v>
      </c>
    </row>
    <row r="65" spans="1:24" x14ac:dyDescent="0.25">
      <c r="A65" s="1">
        <v>61</v>
      </c>
      <c r="B65" s="1" t="s">
        <v>415</v>
      </c>
      <c r="C65" s="1" t="s">
        <v>416</v>
      </c>
      <c r="D65" s="1">
        <f>_xlfn.XLOOKUP(B65,'Master Budget'!$G$4:$G$210,'Master Budget'!$D$4:$D$210,0)</f>
        <v>70</v>
      </c>
      <c r="E65" s="95">
        <v>-8485</v>
      </c>
      <c r="F65" s="96">
        <f>SUMIFS('Data (TB)'!$E$6:$E$524,'Data (TB)'!$A$6:$A$524,'Budget Worksheet'!B65)</f>
        <v>-9909.5499999999993</v>
      </c>
      <c r="G65" s="97">
        <f t="shared" si="11"/>
        <v>-16987.8</v>
      </c>
      <c r="H65" s="98">
        <v>-50000</v>
      </c>
      <c r="I65" s="86">
        <f t="shared" si="2"/>
        <v>33012.199999999997</v>
      </c>
      <c r="J65" s="98">
        <v>-50000</v>
      </c>
      <c r="K65" s="99">
        <f t="shared" si="3"/>
        <v>0</v>
      </c>
      <c r="L65" s="98">
        <v>-50000</v>
      </c>
      <c r="M65" s="99">
        <f t="shared" si="4"/>
        <v>0</v>
      </c>
      <c r="N65" s="98">
        <v>-50000</v>
      </c>
      <c r="O65" s="99">
        <f t="shared" si="4"/>
        <v>0</v>
      </c>
      <c r="P65" s="98">
        <v>-50000</v>
      </c>
      <c r="Q65" s="99">
        <f t="shared" si="9"/>
        <v>0</v>
      </c>
      <c r="R65" s="62">
        <f>_xlfn.XLOOKUP(B65,'Data (TB)'!$A$6:$A$554,'Data (TB)'!$E$6:$E$554,0)/'Data (TB)'!$C$2*12</f>
        <v>-13212.733333333334</v>
      </c>
      <c r="S65" s="97">
        <f>-SUMIFS(Dave!$G$5:$G$152,Dave!$A$5:$A$152,B65)</f>
        <v>-10000</v>
      </c>
      <c r="T65" s="87">
        <f t="shared" si="5"/>
        <v>-3212.7333333333336</v>
      </c>
      <c r="U65" s="97">
        <f>-SUMIFS(Dave!$H$5:$H$152,Dave!$A$5:$A$152,B65)</f>
        <v>-60000</v>
      </c>
      <c r="V65" s="99">
        <f t="shared" si="6"/>
        <v>46787.266666666663</v>
      </c>
      <c r="X65" s="1">
        <f>MATCH(B65,'Master Budget'!$G$4:$G$360,0)</f>
        <v>126</v>
      </c>
    </row>
    <row r="66" spans="1:24" x14ac:dyDescent="0.25">
      <c r="A66" s="1">
        <v>62</v>
      </c>
      <c r="B66" s="1" t="s">
        <v>417</v>
      </c>
      <c r="C66" s="1" t="s">
        <v>418</v>
      </c>
      <c r="D66" s="1">
        <f>_xlfn.XLOOKUP(B66,'Master Budget'!$G$4:$G$210,'Master Budget'!$D$4:$D$210,0)</f>
        <v>30</v>
      </c>
      <c r="E66" s="22">
        <v>-560917.57999999996</v>
      </c>
      <c r="F66" s="84">
        <f>SUMIFS('Data (TB)'!$E$6:$E$524,'Data (TB)'!$A$6:$A$524,'Budget Worksheet'!B66)</f>
        <v>-2376214.86</v>
      </c>
      <c r="G66" s="62">
        <f t="shared" si="11"/>
        <v>-4073511.1885714289</v>
      </c>
      <c r="H66" s="85">
        <v>-200000</v>
      </c>
      <c r="I66" s="86">
        <f t="shared" si="2"/>
        <v>-3873511.1885714289</v>
      </c>
      <c r="J66" s="85">
        <v>-1300000</v>
      </c>
      <c r="K66" s="87">
        <f t="shared" si="3"/>
        <v>1100000</v>
      </c>
      <c r="L66" s="85">
        <v>-600000</v>
      </c>
      <c r="M66" s="87">
        <f t="shared" si="4"/>
        <v>-700000</v>
      </c>
      <c r="N66" s="85">
        <v>-1000000</v>
      </c>
      <c r="O66" s="87">
        <f t="shared" si="4"/>
        <v>400000</v>
      </c>
      <c r="P66" s="85">
        <v>-900000</v>
      </c>
      <c r="Q66" s="87">
        <f t="shared" si="9"/>
        <v>300000</v>
      </c>
      <c r="R66" s="62">
        <f>_xlfn.XLOOKUP(B66,'Data (TB)'!$A$6:$A$554,'Data (TB)'!$E$6:$E$554,0)/'Data (TB)'!$C$2*12</f>
        <v>-3168286.4799999995</v>
      </c>
      <c r="S66" s="62">
        <f>-SUMIFS(Dave!$G$5:$G$152,Dave!$A$5:$A$152,B66)</f>
        <v>-2200000</v>
      </c>
      <c r="T66" s="87">
        <f t="shared" si="5"/>
        <v>-968286.47999999952</v>
      </c>
      <c r="U66" s="62">
        <f>-SUMIFS(Dave!$H$5:$H$152,Dave!$A$5:$A$152,B66)</f>
        <v>-1686024</v>
      </c>
      <c r="V66" s="87">
        <f t="shared" si="6"/>
        <v>-1482262.4799999995</v>
      </c>
      <c r="X66" s="1">
        <f>MATCH(B66,'Master Budget'!$G$4:$G$360,0)</f>
        <v>127</v>
      </c>
    </row>
    <row r="67" spans="1:24" x14ac:dyDescent="0.25">
      <c r="A67" s="1">
        <v>63</v>
      </c>
      <c r="B67" s="1" t="s">
        <v>419</v>
      </c>
      <c r="C67" s="1" t="s">
        <v>420</v>
      </c>
      <c r="D67" s="1">
        <f>_xlfn.XLOOKUP(B67,'Master Budget'!$G$4:$G$210,'Master Budget'!$D$4:$D$210,0)</f>
        <v>30</v>
      </c>
      <c r="E67" s="22">
        <v>0</v>
      </c>
      <c r="F67" s="84">
        <f>SUMIFS('Data (TB)'!$E$6:$E$524,'Data (TB)'!$A$6:$A$524,'Budget Worksheet'!B67)</f>
        <v>0</v>
      </c>
      <c r="G67" s="62">
        <f t="shared" si="11"/>
        <v>0</v>
      </c>
      <c r="H67" s="85">
        <v>0</v>
      </c>
      <c r="I67" s="86">
        <f t="shared" si="2"/>
        <v>0</v>
      </c>
      <c r="J67" s="85">
        <v>0</v>
      </c>
      <c r="K67" s="87">
        <f t="shared" si="3"/>
        <v>0</v>
      </c>
      <c r="L67" s="85">
        <v>0</v>
      </c>
      <c r="M67" s="87">
        <f t="shared" si="4"/>
        <v>0</v>
      </c>
      <c r="N67" s="85">
        <v>0</v>
      </c>
      <c r="O67" s="87">
        <f t="shared" si="4"/>
        <v>0</v>
      </c>
      <c r="P67" s="85">
        <v>0</v>
      </c>
      <c r="Q67" s="87">
        <f t="shared" si="9"/>
        <v>0</v>
      </c>
      <c r="R67" s="62">
        <f>_xlfn.XLOOKUP(B67,'Data (TB)'!$A$6:$A$554,'Data (TB)'!$E$6:$E$554,0)/'Data (TB)'!$C$2*12</f>
        <v>0</v>
      </c>
      <c r="S67" s="62">
        <f>-SUMIFS(Dave!$G$5:$G$152,Dave!$A$5:$A$152,B67)</f>
        <v>0</v>
      </c>
      <c r="T67" s="87">
        <f t="shared" si="5"/>
        <v>0</v>
      </c>
      <c r="U67" s="62">
        <f>-SUMIFS(Dave!$H$5:$H$152,Dave!$A$5:$A$152,B67)</f>
        <v>0</v>
      </c>
      <c r="V67" s="87">
        <f t="shared" si="6"/>
        <v>0</v>
      </c>
      <c r="X67" s="1">
        <f>MATCH(B67,'Master Budget'!$G$4:$G$360,0)</f>
        <v>128</v>
      </c>
    </row>
    <row r="68" spans="1:24" x14ac:dyDescent="0.25">
      <c r="A68" s="1">
        <v>64</v>
      </c>
      <c r="B68" s="1" t="s">
        <v>421</v>
      </c>
      <c r="C68" s="1" t="s">
        <v>99</v>
      </c>
      <c r="D68" s="1">
        <f>_xlfn.XLOOKUP(B68,'Master Budget'!$G$4:$G$210,'Master Budget'!$D$4:$D$210,0)</f>
        <v>30</v>
      </c>
      <c r="E68" s="22">
        <v>-38000</v>
      </c>
      <c r="F68" s="84">
        <f>SUMIFS('Data (TB)'!$E$6:$E$524,'Data (TB)'!$A$6:$A$524,'Budget Worksheet'!B68)</f>
        <v>0</v>
      </c>
      <c r="G68" s="62">
        <f t="shared" si="11"/>
        <v>0</v>
      </c>
      <c r="H68" s="85">
        <v>0</v>
      </c>
      <c r="I68" s="86">
        <f t="shared" si="2"/>
        <v>0</v>
      </c>
      <c r="J68" s="85">
        <v>0</v>
      </c>
      <c r="K68" s="87">
        <f t="shared" si="3"/>
        <v>0</v>
      </c>
      <c r="L68" s="85">
        <v>0</v>
      </c>
      <c r="M68" s="87">
        <f t="shared" si="4"/>
        <v>0</v>
      </c>
      <c r="N68" s="85">
        <v>0</v>
      </c>
      <c r="O68" s="87">
        <f t="shared" si="4"/>
        <v>0</v>
      </c>
      <c r="P68" s="85">
        <v>0</v>
      </c>
      <c r="Q68" s="87">
        <f t="shared" si="9"/>
        <v>0</v>
      </c>
      <c r="R68" s="62">
        <f>_xlfn.XLOOKUP(B68,'Data (TB)'!$A$6:$A$554,'Data (TB)'!$E$6:$E$554,0)/'Data (TB)'!$C$2*12</f>
        <v>0</v>
      </c>
      <c r="S68" s="62">
        <f>-SUMIFS(Dave!$G$5:$G$152,Dave!$A$5:$A$152,B68)</f>
        <v>0</v>
      </c>
      <c r="T68" s="87">
        <f t="shared" si="5"/>
        <v>0</v>
      </c>
      <c r="U68" s="62">
        <f>-SUMIFS(Dave!$H$5:$H$152,Dave!$A$5:$A$152,B68)</f>
        <v>0</v>
      </c>
      <c r="V68" s="87">
        <f t="shared" si="6"/>
        <v>0</v>
      </c>
      <c r="X68" s="1">
        <f>MATCH(B68,'Master Budget'!$G$4:$G$360,0)</f>
        <v>129</v>
      </c>
    </row>
    <row r="69" spans="1:24" x14ac:dyDescent="0.25">
      <c r="B69" s="1" t="s">
        <v>422</v>
      </c>
      <c r="C69" s="1" t="s">
        <v>261</v>
      </c>
      <c r="E69" s="22"/>
      <c r="F69" s="84"/>
      <c r="G69" s="62"/>
      <c r="H69" s="85"/>
      <c r="I69" s="86"/>
      <c r="J69" s="85">
        <v>0</v>
      </c>
      <c r="K69" s="87"/>
      <c r="L69" s="85">
        <v>0</v>
      </c>
      <c r="M69" s="87"/>
      <c r="N69" s="85">
        <v>0</v>
      </c>
      <c r="O69" s="87"/>
      <c r="P69" s="85">
        <v>0</v>
      </c>
      <c r="Q69" s="87"/>
      <c r="R69" s="62">
        <f>_xlfn.XLOOKUP(B69,'Data (TB)'!$A$6:$A$554,'Data (TB)'!$E$6:$E$554,0)/'Data (TB)'!$C$2*12</f>
        <v>-14942.946666666667</v>
      </c>
      <c r="S69" s="62">
        <f>-SUMIFS(Dave!$G$5:$G$152,Dave!$A$5:$A$152,B69)</f>
        <v>-14000</v>
      </c>
      <c r="T69" s="87">
        <f t="shared" si="5"/>
        <v>-942.94666666666672</v>
      </c>
      <c r="U69" s="62">
        <f>-SUMIFS(Dave!$H$5:$H$152,Dave!$A$5:$A$152,B69)</f>
        <v>-12000</v>
      </c>
      <c r="V69" s="87">
        <f t="shared" si="6"/>
        <v>-2942.9466666666667</v>
      </c>
      <c r="X69" s="1">
        <f>MATCH(B69,'Master Budget'!$G$4:$G$360,0)</f>
        <v>130</v>
      </c>
    </row>
    <row r="70" spans="1:24" x14ac:dyDescent="0.25">
      <c r="A70" s="78">
        <v>66</v>
      </c>
      <c r="B70" s="78" t="s">
        <v>424</v>
      </c>
      <c r="C70" s="78" t="s">
        <v>101</v>
      </c>
      <c r="D70" s="78">
        <f>_xlfn.XLOOKUP(B70,'Master Budget'!$G$4:$G$210,'Master Budget'!$D$4:$D$210,0)</f>
        <v>100</v>
      </c>
      <c r="E70" s="134">
        <v>210050.31</v>
      </c>
      <c r="F70" s="135">
        <f>SUMIFS('Data (TB)'!$E$6:$E$524,'Data (TB)'!$A$6:$A$524,'Budget Worksheet'!B70)</f>
        <v>788378.3</v>
      </c>
      <c r="G70" s="79">
        <f t="shared" si="11"/>
        <v>1351505.6571428571</v>
      </c>
      <c r="H70" s="136">
        <v>112400</v>
      </c>
      <c r="I70" s="137">
        <f t="shared" si="2"/>
        <v>1239105.6571428571</v>
      </c>
      <c r="J70" s="136">
        <v>600000</v>
      </c>
      <c r="K70" s="138">
        <f t="shared" si="3"/>
        <v>-487600</v>
      </c>
      <c r="L70" s="136">
        <v>356000</v>
      </c>
      <c r="M70" s="138">
        <f t="shared" si="4"/>
        <v>244000</v>
      </c>
      <c r="N70" s="136">
        <v>550000</v>
      </c>
      <c r="O70" s="138">
        <f t="shared" si="4"/>
        <v>-194000</v>
      </c>
      <c r="P70" s="136">
        <v>724500</v>
      </c>
      <c r="Q70" s="138">
        <f>L70-P70</f>
        <v>-368500</v>
      </c>
      <c r="R70" s="62">
        <f>_xlfn.XLOOKUP(B70,'Data (TB)'!$A$6:$A$554,'Data (TB)'!$E$6:$E$554,0)/'Data (TB)'!$C$2*12</f>
        <v>1051171.0666666667</v>
      </c>
      <c r="S70" s="79">
        <f>SUMIFS(Dave!$G$5:$G$152,Dave!$A$5:$A$152,B70)</f>
        <v>850000</v>
      </c>
      <c r="T70" s="87">
        <f t="shared" si="5"/>
        <v>-201171.06666666665</v>
      </c>
      <c r="U70" s="79">
        <f>SUMIFS(Dave!$H$5:$H$152,Dave!$A$5:$A$152,B70)</f>
        <v>869914</v>
      </c>
      <c r="V70" s="138">
        <f t="shared" si="6"/>
        <v>181257.06666666665</v>
      </c>
      <c r="X70" s="1">
        <f>MATCH(B70,'Master Budget'!$G$4:$G$360,0)</f>
        <v>132</v>
      </c>
    </row>
    <row r="71" spans="1:24" x14ac:dyDescent="0.25">
      <c r="A71" s="1">
        <v>67</v>
      </c>
      <c r="B71" s="1" t="s">
        <v>425</v>
      </c>
      <c r="C71" s="1" t="s">
        <v>104</v>
      </c>
      <c r="D71" s="1">
        <f>_xlfn.XLOOKUP(B71,'Master Budget'!$G$4:$G$210,'Master Budget'!$D$4:$D$210,0)</f>
        <v>100</v>
      </c>
      <c r="E71" s="22">
        <v>9751.41</v>
      </c>
      <c r="F71" s="84">
        <f>SUMIFS('Data (TB)'!$E$6:$E$524,'Data (TB)'!$A$6:$A$524,'Budget Worksheet'!B71)</f>
        <v>60432.78</v>
      </c>
      <c r="G71" s="62">
        <f t="shared" si="11"/>
        <v>103599.05142857143</v>
      </c>
      <c r="H71" s="85">
        <v>8598.6</v>
      </c>
      <c r="I71" s="86">
        <f t="shared" si="2"/>
        <v>95000.451428571425</v>
      </c>
      <c r="J71" s="85">
        <v>46000</v>
      </c>
      <c r="K71" s="87">
        <f t="shared" si="3"/>
        <v>-37401</v>
      </c>
      <c r="L71" s="85">
        <v>24939</v>
      </c>
      <c r="M71" s="87">
        <f t="shared" si="4"/>
        <v>21061</v>
      </c>
      <c r="N71" s="85">
        <v>46000</v>
      </c>
      <c r="O71" s="87">
        <f t="shared" si="4"/>
        <v>-21061</v>
      </c>
      <c r="P71" s="85">
        <v>50604.75</v>
      </c>
      <c r="Q71" s="87">
        <f>L71-P71</f>
        <v>-25665.75</v>
      </c>
      <c r="R71" s="62">
        <f>_xlfn.XLOOKUP(B71,'Data (TB)'!$A$6:$A$554,'Data (TB)'!$E$6:$E$554,0)/'Data (TB)'!$C$2*12</f>
        <v>80577.039999999994</v>
      </c>
      <c r="S71" s="62">
        <f>SUMIFS(Dave!$G$5:$G$152,Dave!$A$5:$A$152,B71)</f>
        <v>67000</v>
      </c>
      <c r="T71" s="87">
        <f t="shared" ref="T71:T134" si="12">ABS(S71)-ABS(R71)</f>
        <v>-13577.039999999994</v>
      </c>
      <c r="U71" s="62">
        <f>SUMIFS(Dave!$H$5:$H$152,Dave!$A$5:$A$152,B71)</f>
        <v>66548.421000000002</v>
      </c>
      <c r="V71" s="87">
        <f t="shared" ref="V71:V134" si="13">R71-U71</f>
        <v>14028.618999999992</v>
      </c>
      <c r="X71" s="1">
        <f>MATCH(B71,'Master Budget'!$G$4:$G$360,0)</f>
        <v>133</v>
      </c>
    </row>
    <row r="72" spans="1:24" x14ac:dyDescent="0.25">
      <c r="A72" s="1">
        <v>68</v>
      </c>
      <c r="B72" s="1" t="s">
        <v>426</v>
      </c>
      <c r="C72" s="1" t="s">
        <v>106</v>
      </c>
      <c r="D72" s="1">
        <f>_xlfn.XLOOKUP(B72,'Master Budget'!$G$4:$G$210,'Master Budget'!$D$4:$D$210,0)</f>
        <v>100</v>
      </c>
      <c r="E72" s="22">
        <v>0</v>
      </c>
      <c r="F72" s="84">
        <f>SUMIFS('Data (TB)'!$E$6:$E$524,'Data (TB)'!$A$6:$A$524,'Budget Worksheet'!B72)</f>
        <v>14799.69</v>
      </c>
      <c r="G72" s="62">
        <f t="shared" si="11"/>
        <v>25370.897142857142</v>
      </c>
      <c r="H72" s="85">
        <v>0</v>
      </c>
      <c r="I72" s="86">
        <f t="shared" si="2"/>
        <v>25370.897142857142</v>
      </c>
      <c r="J72" s="85">
        <v>0</v>
      </c>
      <c r="K72" s="87">
        <f t="shared" si="3"/>
        <v>0</v>
      </c>
      <c r="L72" s="85">
        <v>0</v>
      </c>
      <c r="M72" s="87">
        <f t="shared" si="4"/>
        <v>0</v>
      </c>
      <c r="N72" s="85">
        <v>0</v>
      </c>
      <c r="O72" s="87">
        <f t="shared" si="4"/>
        <v>0</v>
      </c>
      <c r="P72" s="85">
        <v>0</v>
      </c>
      <c r="Q72" s="87">
        <f>L72-P72</f>
        <v>0</v>
      </c>
      <c r="R72" s="62">
        <f>_xlfn.XLOOKUP(B72,'Data (TB)'!$A$6:$A$554,'Data (TB)'!$E$6:$E$554,0)/'Data (TB)'!$C$2*12</f>
        <v>19732.920000000002</v>
      </c>
      <c r="S72" s="62">
        <f>SUMIFS(Dave!$G$5:$G$152,Dave!$A$5:$A$152,B72)</f>
        <v>40000</v>
      </c>
      <c r="T72" s="87">
        <f t="shared" si="12"/>
        <v>20267.079999999998</v>
      </c>
      <c r="U72" s="62">
        <f>SUMIFS(Dave!$H$5:$H$152,Dave!$A$5:$A$152,B72)</f>
        <v>169982.8</v>
      </c>
      <c r="V72" s="87">
        <f t="shared" si="13"/>
        <v>-150249.87999999998</v>
      </c>
      <c r="X72" s="1">
        <f>MATCH(B72,'Master Budget'!$G$4:$G$360,0)</f>
        <v>134</v>
      </c>
    </row>
    <row r="73" spans="1:24" x14ac:dyDescent="0.25">
      <c r="B73" s="1" t="s">
        <v>838</v>
      </c>
      <c r="C73" s="1" t="s">
        <v>108</v>
      </c>
      <c r="E73" s="22"/>
      <c r="F73" s="84"/>
      <c r="G73" s="62"/>
      <c r="H73" s="85"/>
      <c r="I73" s="86"/>
      <c r="J73" s="85"/>
      <c r="K73" s="87"/>
      <c r="L73" s="85"/>
      <c r="M73" s="87"/>
      <c r="N73" s="85"/>
      <c r="O73" s="87"/>
      <c r="P73" s="85"/>
      <c r="Q73" s="87"/>
      <c r="R73" s="62">
        <f>_xlfn.XLOOKUP(B73,'Data (TB)'!$A$6:$A$554,'Data (TB)'!$E$6:$E$554,0)/'Data (TB)'!$C$2*12</f>
        <v>50911.493333333332</v>
      </c>
      <c r="S73" s="62">
        <f>SUMIFS(Dave!$G$5:$G$152,Dave!$A$5:$A$152,B73)</f>
        <v>60000</v>
      </c>
      <c r="T73" s="87">
        <f t="shared" si="12"/>
        <v>9088.506666666668</v>
      </c>
      <c r="U73" s="62">
        <f>SUMIFS(Dave!$H$5:$H$152,Dave!$A$5:$A$152,B73)</f>
        <v>115322.08</v>
      </c>
      <c r="V73" s="87">
        <f t="shared" si="13"/>
        <v>-64410.58666666667</v>
      </c>
    </row>
    <row r="74" spans="1:24" x14ac:dyDescent="0.25">
      <c r="A74" s="1">
        <v>69</v>
      </c>
      <c r="B74" s="1" t="s">
        <v>427</v>
      </c>
      <c r="C74" s="1" t="s">
        <v>110</v>
      </c>
      <c r="D74" s="1">
        <f>_xlfn.XLOOKUP(B74,'Master Budget'!$G$4:$G$210,'Master Budget'!$D$4:$D$210,0)</f>
        <v>100</v>
      </c>
      <c r="E74" s="22">
        <v>0</v>
      </c>
      <c r="F74" s="84">
        <f>SUMIFS('Data (TB)'!$E$6:$E$524,'Data (TB)'!$A$6:$A$524,'Budget Worksheet'!B74)</f>
        <v>1228.9000000000001</v>
      </c>
      <c r="G74" s="62">
        <f t="shared" si="11"/>
        <v>2106.6857142857143</v>
      </c>
      <c r="H74" s="85">
        <v>2956.12</v>
      </c>
      <c r="I74" s="86">
        <f t="shared" ref="I74:I143" si="14">-H74+G74</f>
        <v>-849.43428571428558</v>
      </c>
      <c r="J74" s="85">
        <v>2956.12</v>
      </c>
      <c r="K74" s="87">
        <f t="shared" ref="K74:K143" si="15">ROUND(H74-J74,0)</f>
        <v>0</v>
      </c>
      <c r="L74" s="85">
        <v>6520</v>
      </c>
      <c r="M74" s="87">
        <f t="shared" ref="M74:O143" si="16">J74-L74</f>
        <v>-3563.88</v>
      </c>
      <c r="N74" s="85">
        <v>10000</v>
      </c>
      <c r="O74" s="87">
        <f t="shared" si="16"/>
        <v>-3480</v>
      </c>
      <c r="P74" s="85">
        <v>13230</v>
      </c>
      <c r="Q74" s="87">
        <f>L74-P74</f>
        <v>-6710</v>
      </c>
      <c r="R74" s="62">
        <f>_xlfn.XLOOKUP(B74,'Data (TB)'!$A$6:$A$554,'Data (TB)'!$E$6:$E$554,0)/'Data (TB)'!$C$2*12</f>
        <v>1638.5333333333333</v>
      </c>
      <c r="S74" s="62">
        <f>SUMIFS(Dave!$G$5:$G$152,Dave!$A$5:$A$152,B74)</f>
        <v>0</v>
      </c>
      <c r="T74" s="87">
        <f t="shared" si="12"/>
        <v>-1638.5333333333333</v>
      </c>
      <c r="U74" s="62">
        <f>SUMIFS(Dave!$H$5:$H$152,Dave!$A$5:$A$152,B74)</f>
        <v>17398.28</v>
      </c>
      <c r="V74" s="87">
        <f t="shared" si="13"/>
        <v>-15759.746666666666</v>
      </c>
      <c r="X74" s="1">
        <f>MATCH(B74,'Master Budget'!$G$4:$G$360,0)</f>
        <v>136</v>
      </c>
    </row>
    <row r="75" spans="1:24" x14ac:dyDescent="0.25">
      <c r="B75" s="1" t="s">
        <v>839</v>
      </c>
      <c r="C75" s="1" t="s">
        <v>112</v>
      </c>
      <c r="E75" s="22"/>
      <c r="F75" s="84"/>
      <c r="G75" s="62"/>
      <c r="H75" s="85"/>
      <c r="I75" s="86"/>
      <c r="J75" s="85"/>
      <c r="K75" s="87"/>
      <c r="L75" s="85"/>
      <c r="M75" s="87"/>
      <c r="N75" s="85"/>
      <c r="O75" s="87"/>
      <c r="P75" s="85"/>
      <c r="Q75" s="87"/>
      <c r="R75" s="62">
        <f>_xlfn.XLOOKUP(B75,'Data (TB)'!$A$6:$A$554,'Data (TB)'!$E$6:$E$554,0)/'Data (TB)'!$C$2*12</f>
        <v>4601.3333333333339</v>
      </c>
      <c r="S75" s="62">
        <f>SUMIFS(Dave!$G$5:$G$152,Dave!$A$5:$A$152,B75)</f>
        <v>0</v>
      </c>
      <c r="T75" s="87">
        <f t="shared" si="12"/>
        <v>-4601.3333333333339</v>
      </c>
      <c r="U75" s="62">
        <f>SUMIFS(Dave!$H$5:$H$152,Dave!$A$5:$A$152,B75)</f>
        <v>0</v>
      </c>
      <c r="V75" s="87">
        <f t="shared" si="13"/>
        <v>4601.3333333333339</v>
      </c>
    </row>
    <row r="76" spans="1:24" x14ac:dyDescent="0.25">
      <c r="B76" s="1" t="s">
        <v>840</v>
      </c>
      <c r="C76" s="1" t="s">
        <v>114</v>
      </c>
      <c r="E76" s="22"/>
      <c r="F76" s="84"/>
      <c r="G76" s="62"/>
      <c r="H76" s="85"/>
      <c r="I76" s="86"/>
      <c r="J76" s="85"/>
      <c r="K76" s="87"/>
      <c r="L76" s="85"/>
      <c r="M76" s="87"/>
      <c r="N76" s="85"/>
      <c r="O76" s="87"/>
      <c r="P76" s="85"/>
      <c r="Q76" s="87"/>
      <c r="R76" s="62">
        <f>_xlfn.XLOOKUP(B76,'Data (TB)'!$A$6:$A$554,'Data (TB)'!$E$6:$E$554,0)/'Data (TB)'!$C$2*12</f>
        <v>11.68</v>
      </c>
      <c r="S76" s="62">
        <f>SUMIFS(Dave!$G$5:$G$152,Dave!$A$5:$A$152,B76)</f>
        <v>18</v>
      </c>
      <c r="T76" s="87">
        <f t="shared" si="12"/>
        <v>6.32</v>
      </c>
      <c r="U76" s="62">
        <f>SUMIFS(Dave!$H$5:$H$152,Dave!$A$5:$A$152,B76)</f>
        <v>0</v>
      </c>
      <c r="V76" s="87">
        <f t="shared" si="13"/>
        <v>11.68</v>
      </c>
    </row>
    <row r="77" spans="1:24" x14ac:dyDescent="0.25">
      <c r="A77" s="1">
        <v>70</v>
      </c>
      <c r="B77" s="1" t="s">
        <v>428</v>
      </c>
      <c r="C77" s="1" t="s">
        <v>1054</v>
      </c>
      <c r="D77" s="1">
        <f>_xlfn.XLOOKUP(B77,'Master Budget'!$G$4:$G$210,'Master Budget'!$D$4:$D$210,0)</f>
        <v>200</v>
      </c>
      <c r="E77" s="22">
        <v>0</v>
      </c>
      <c r="F77" s="84">
        <f>SUMIFS('Data (TB)'!$E$6:$E$524,'Data (TB)'!$A$6:$A$524,'Budget Worksheet'!B77)</f>
        <v>33980.65</v>
      </c>
      <c r="G77" s="62">
        <f t="shared" si="11"/>
        <v>58252.542857142857</v>
      </c>
      <c r="H77" s="85">
        <v>-5821.0560000000005</v>
      </c>
      <c r="I77" s="86">
        <f t="shared" si="14"/>
        <v>64073.598857142861</v>
      </c>
      <c r="J77" s="85">
        <v>18000</v>
      </c>
      <c r="K77" s="87">
        <f t="shared" si="15"/>
        <v>-23821</v>
      </c>
      <c r="L77" s="85">
        <v>9500</v>
      </c>
      <c r="M77" s="87">
        <f t="shared" si="16"/>
        <v>8500</v>
      </c>
      <c r="N77" s="85">
        <v>18000</v>
      </c>
      <c r="O77" s="87">
        <f t="shared" si="16"/>
        <v>-8500</v>
      </c>
      <c r="P77" s="85">
        <v>25000</v>
      </c>
      <c r="Q77" s="87">
        <f>L77-P77</f>
        <v>-15500</v>
      </c>
      <c r="R77" s="62">
        <f>_xlfn.XLOOKUP(B77,'Data (TB)'!$A$6:$A$554,'Data (TB)'!$E$6:$E$554,0)/'Data (TB)'!$C$2*12</f>
        <v>45307.533333333333</v>
      </c>
      <c r="S77" s="62">
        <f>SUMIFS(Dave!$G$5:$G$152,Dave!$A$5:$A$152,B77)</f>
        <v>35000</v>
      </c>
      <c r="T77" s="87">
        <f t="shared" si="12"/>
        <v>-10307.533333333333</v>
      </c>
      <c r="U77" s="62">
        <f>SUMIFS(Dave!$H$5:$H$152,Dave!$A$5:$A$152,B77)</f>
        <v>35000</v>
      </c>
      <c r="V77" s="87">
        <f t="shared" si="13"/>
        <v>10307.533333333333</v>
      </c>
      <c r="X77" s="1">
        <f>MATCH(B77,'Master Budget'!$G$4:$G$360,0)</f>
        <v>139</v>
      </c>
    </row>
    <row r="78" spans="1:24" x14ac:dyDescent="0.25">
      <c r="B78" s="1" t="s">
        <v>429</v>
      </c>
      <c r="C78" s="1" t="s">
        <v>295</v>
      </c>
      <c r="E78" s="22"/>
      <c r="F78" s="84"/>
      <c r="G78" s="62"/>
      <c r="H78" s="85"/>
      <c r="I78" s="86"/>
      <c r="J78" s="85">
        <v>0</v>
      </c>
      <c r="K78" s="87"/>
      <c r="L78" s="85">
        <v>0</v>
      </c>
      <c r="M78" s="87"/>
      <c r="N78" s="85">
        <v>17000</v>
      </c>
      <c r="O78" s="87"/>
      <c r="P78" s="85">
        <v>0</v>
      </c>
      <c r="Q78" s="87"/>
      <c r="R78" s="62">
        <f>_xlfn.XLOOKUP(B78,'Data (TB)'!$A$6:$A$554,'Data (TB)'!$E$6:$E$554,0)/'Data (TB)'!$C$2*12</f>
        <v>0</v>
      </c>
      <c r="S78" s="62">
        <f>SUMIFS(Dave!$G$5:$G$152,Dave!$A$5:$A$152,B78)</f>
        <v>0</v>
      </c>
      <c r="T78" s="87">
        <f t="shared" si="12"/>
        <v>0</v>
      </c>
      <c r="U78" s="62">
        <f>SUMIFS(Dave!$H$5:$H$152,Dave!$A$5:$A$152,B78)</f>
        <v>0</v>
      </c>
      <c r="V78" s="87">
        <f t="shared" si="13"/>
        <v>0</v>
      </c>
      <c r="X78" s="1">
        <f>MATCH(B78,'Master Budget'!$G$4:$G$360,0)</f>
        <v>140</v>
      </c>
    </row>
    <row r="79" spans="1:24" x14ac:dyDescent="0.25">
      <c r="A79" s="1">
        <v>71</v>
      </c>
      <c r="B79" s="1" t="s">
        <v>430</v>
      </c>
      <c r="C79" s="1" t="s">
        <v>303</v>
      </c>
      <c r="D79" s="1">
        <f>_xlfn.XLOOKUP(B79,'Master Budget'!$G$4:$G$210,'Master Budget'!$D$4:$D$210,0)</f>
        <v>200</v>
      </c>
      <c r="E79" s="22">
        <v>0</v>
      </c>
      <c r="F79" s="84">
        <f>SUMIFS('Data (TB)'!$E$6:$E$524,'Data (TB)'!$A$6:$A$524,'Budget Worksheet'!B79)</f>
        <v>14047.76</v>
      </c>
      <c r="G79" s="62">
        <f t="shared" si="11"/>
        <v>24081.874285714286</v>
      </c>
      <c r="H79" s="85">
        <v>527.88400000000001</v>
      </c>
      <c r="I79" s="86">
        <f t="shared" si="14"/>
        <v>23553.990285714288</v>
      </c>
      <c r="J79" s="85">
        <v>1200</v>
      </c>
      <c r="K79" s="87">
        <f t="shared" si="15"/>
        <v>-672</v>
      </c>
      <c r="L79" s="85">
        <v>527.88</v>
      </c>
      <c r="M79" s="87">
        <f t="shared" si="16"/>
        <v>672.12</v>
      </c>
      <c r="N79" s="85">
        <v>1200</v>
      </c>
      <c r="O79" s="87">
        <f t="shared" si="16"/>
        <v>-672.12</v>
      </c>
      <c r="P79" s="85">
        <v>600</v>
      </c>
      <c r="Q79" s="87">
        <f t="shared" ref="Q79:Q110" si="17">L79-P79</f>
        <v>-72.12</v>
      </c>
      <c r="R79" s="62">
        <f>_xlfn.XLOOKUP(B79,'Data (TB)'!$A$6:$A$554,'Data (TB)'!$E$6:$E$554,0)/'Data (TB)'!$C$2*12</f>
        <v>18730.346666666668</v>
      </c>
      <c r="S79" s="62">
        <f>SUMIFS(Dave!$G$5:$G$152,Dave!$A$5:$A$152,B79)</f>
        <v>15000</v>
      </c>
      <c r="T79" s="87">
        <f t="shared" si="12"/>
        <v>-3730.3466666666682</v>
      </c>
      <c r="U79" s="62">
        <f>SUMIFS(Dave!$H$5:$H$152,Dave!$A$5:$A$152,B79)</f>
        <v>15000</v>
      </c>
      <c r="V79" s="87">
        <f t="shared" si="13"/>
        <v>3730.3466666666682</v>
      </c>
      <c r="X79" s="1">
        <f>MATCH(B79,'Master Budget'!$G$4:$G$360,0)</f>
        <v>141</v>
      </c>
    </row>
    <row r="80" spans="1:24" x14ac:dyDescent="0.25">
      <c r="A80" s="1">
        <v>72</v>
      </c>
      <c r="B80" s="1" t="s">
        <v>431</v>
      </c>
      <c r="C80" s="1" t="s">
        <v>432</v>
      </c>
      <c r="D80" s="1">
        <f>_xlfn.XLOOKUP(B80,'Master Budget'!$G$4:$G$210,'Master Budget'!$D$4:$D$210,0)</f>
        <v>500</v>
      </c>
      <c r="E80" s="22">
        <v>19120.490000000002</v>
      </c>
      <c r="F80" s="84">
        <f>SUMIFS('Data (TB)'!$E$6:$E$524,'Data (TB)'!$A$6:$A$524,'Budget Worksheet'!B80)</f>
        <v>973.69</v>
      </c>
      <c r="G80" s="62">
        <f t="shared" si="11"/>
        <v>1669.1828571428573</v>
      </c>
      <c r="H80" s="85">
        <v>20000</v>
      </c>
      <c r="I80" s="86">
        <f t="shared" si="14"/>
        <v>-18330.817142857144</v>
      </c>
      <c r="J80" s="85">
        <v>20000</v>
      </c>
      <c r="K80" s="87">
        <f t="shared" si="15"/>
        <v>0</v>
      </c>
      <c r="L80" s="85">
        <v>20000</v>
      </c>
      <c r="M80" s="87">
        <f t="shared" si="16"/>
        <v>0</v>
      </c>
      <c r="N80" s="85">
        <v>20000</v>
      </c>
      <c r="O80" s="87">
        <f t="shared" si="16"/>
        <v>0</v>
      </c>
      <c r="P80" s="85">
        <v>25000</v>
      </c>
      <c r="Q80" s="87">
        <f t="shared" si="17"/>
        <v>-5000</v>
      </c>
      <c r="R80" s="62">
        <f>_xlfn.XLOOKUP(B80,'Data (TB)'!$A$6:$A$554,'Data (TB)'!$E$6:$E$554,0)/'Data (TB)'!$C$2*12</f>
        <v>1298.2533333333333</v>
      </c>
      <c r="S80" s="62">
        <f>SUMIFS(Dave!$G$5:$G$152,Dave!$A$5:$A$152,B80)</f>
        <v>5000</v>
      </c>
      <c r="T80" s="87">
        <f t="shared" si="12"/>
        <v>3701.7466666666669</v>
      </c>
      <c r="U80" s="62">
        <f>SUMIFS(Dave!$H$5:$H$152,Dave!$A$5:$A$152,B80)</f>
        <v>5000</v>
      </c>
      <c r="V80" s="87">
        <f t="shared" si="13"/>
        <v>-3701.7466666666669</v>
      </c>
      <c r="X80" s="1">
        <f>MATCH(B80,'Master Budget'!$G$4:$G$360,0)</f>
        <v>142</v>
      </c>
    </row>
    <row r="81" spans="1:24" x14ac:dyDescent="0.25">
      <c r="A81" s="1">
        <v>73</v>
      </c>
      <c r="B81" s="1" t="s">
        <v>433</v>
      </c>
      <c r="C81" s="1" t="s">
        <v>309</v>
      </c>
      <c r="D81" s="1">
        <f>_xlfn.XLOOKUP(B81,'Master Budget'!$G$4:$G$210,'Master Budget'!$D$4:$D$210,0)</f>
        <v>500</v>
      </c>
      <c r="E81" s="22">
        <v>0</v>
      </c>
      <c r="F81" s="84">
        <f>SUMIFS('Data (TB)'!$E$6:$E$524,'Data (TB)'!$A$6:$A$524,'Budget Worksheet'!B81)</f>
        <v>31976.79</v>
      </c>
      <c r="G81" s="62">
        <f t="shared" si="11"/>
        <v>54817.354285714289</v>
      </c>
      <c r="H81" s="85">
        <v>6000</v>
      </c>
      <c r="I81" s="86">
        <f t="shared" si="14"/>
        <v>48817.354285714289</v>
      </c>
      <c r="J81" s="85">
        <v>20000</v>
      </c>
      <c r="K81" s="87">
        <f t="shared" si="15"/>
        <v>-14000</v>
      </c>
      <c r="L81" s="85">
        <v>12000</v>
      </c>
      <c r="M81" s="87">
        <f t="shared" si="16"/>
        <v>8000</v>
      </c>
      <c r="N81" s="85">
        <v>62000</v>
      </c>
      <c r="O81" s="87">
        <f t="shared" si="16"/>
        <v>-50000</v>
      </c>
      <c r="P81" s="85">
        <v>20000</v>
      </c>
      <c r="Q81" s="87">
        <f t="shared" si="17"/>
        <v>-8000</v>
      </c>
      <c r="R81" s="62">
        <f>_xlfn.XLOOKUP(B81,'Data (TB)'!$A$6:$A$554,'Data (TB)'!$E$6:$E$554,0)/'Data (TB)'!$C$2*12</f>
        <v>42635.72</v>
      </c>
      <c r="S81" s="62">
        <f>SUMIFS(Dave!$G$5:$G$152,Dave!$A$5:$A$152,B81)</f>
        <v>40000</v>
      </c>
      <c r="T81" s="87">
        <f t="shared" si="12"/>
        <v>-2635.7200000000012</v>
      </c>
      <c r="U81" s="62">
        <f>SUMIFS(Dave!$H$5:$H$152,Dave!$A$5:$A$152,B81)</f>
        <v>35000</v>
      </c>
      <c r="V81" s="87">
        <f t="shared" si="13"/>
        <v>7635.7200000000012</v>
      </c>
      <c r="X81" s="1">
        <f>MATCH(B81,'Master Budget'!$G$4:$G$360,0)</f>
        <v>143</v>
      </c>
    </row>
    <row r="82" spans="1:24" x14ac:dyDescent="0.25">
      <c r="A82" s="1">
        <v>74</v>
      </c>
      <c r="B82" s="1" t="s">
        <v>434</v>
      </c>
      <c r="C82" s="1" t="s">
        <v>311</v>
      </c>
      <c r="D82" s="1">
        <f>_xlfn.XLOOKUP(B82,'Master Budget'!$G$4:$G$210,'Master Budget'!$D$4:$D$210,0)</f>
        <v>500</v>
      </c>
      <c r="E82" s="22">
        <v>22454.560000000001</v>
      </c>
      <c r="F82" s="84">
        <f>SUMIFS('Data (TB)'!$E$6:$E$524,'Data (TB)'!$A$6:$A$524,'Budget Worksheet'!B82)</f>
        <v>31774.42</v>
      </c>
      <c r="G82" s="62">
        <f t="shared" si="11"/>
        <v>54470.434285714291</v>
      </c>
      <c r="H82" s="85">
        <v>12000</v>
      </c>
      <c r="I82" s="86">
        <f t="shared" si="14"/>
        <v>42470.434285714291</v>
      </c>
      <c r="J82" s="85">
        <v>15000</v>
      </c>
      <c r="K82" s="87">
        <f t="shared" si="15"/>
        <v>-3000</v>
      </c>
      <c r="L82" s="85">
        <v>12000</v>
      </c>
      <c r="M82" s="87">
        <f t="shared" si="16"/>
        <v>3000</v>
      </c>
      <c r="N82" s="85">
        <v>20000</v>
      </c>
      <c r="O82" s="87">
        <f t="shared" si="16"/>
        <v>-8000</v>
      </c>
      <c r="P82" s="85">
        <v>12000</v>
      </c>
      <c r="Q82" s="87">
        <f t="shared" si="17"/>
        <v>0</v>
      </c>
      <c r="R82" s="62">
        <f>_xlfn.XLOOKUP(B82,'Data (TB)'!$A$6:$A$554,'Data (TB)'!$E$6:$E$554,0)/'Data (TB)'!$C$2*12</f>
        <v>42365.893333333333</v>
      </c>
      <c r="S82" s="62">
        <f>SUMIFS(Dave!$G$5:$G$152,Dave!$A$5:$A$152,B82)</f>
        <v>12000</v>
      </c>
      <c r="T82" s="87">
        <f t="shared" si="12"/>
        <v>-30365.893333333333</v>
      </c>
      <c r="U82" s="62">
        <f>SUMIFS(Dave!$H$5:$H$152,Dave!$A$5:$A$152,B82)</f>
        <v>12000</v>
      </c>
      <c r="V82" s="87">
        <f t="shared" si="13"/>
        <v>30365.893333333333</v>
      </c>
      <c r="X82" s="1">
        <f>MATCH(B82,'Master Budget'!$G$4:$G$360,0)</f>
        <v>144</v>
      </c>
    </row>
    <row r="83" spans="1:24" x14ac:dyDescent="0.25">
      <c r="A83" s="1">
        <v>75</v>
      </c>
      <c r="B83" s="1" t="s">
        <v>435</v>
      </c>
      <c r="C83" s="1" t="s">
        <v>329</v>
      </c>
      <c r="D83" s="1">
        <f>_xlfn.XLOOKUP(B83,'Master Budget'!$G$4:$G$210,'Master Budget'!$D$4:$D$210,0)</f>
        <v>200</v>
      </c>
      <c r="E83" s="22">
        <v>47949.99</v>
      </c>
      <c r="F83" s="84">
        <f>SUMIFS('Data (TB)'!$E$6:$E$524,'Data (TB)'!$A$6:$A$524,'Budget Worksheet'!B83)</f>
        <v>170952.8</v>
      </c>
      <c r="G83" s="62">
        <f t="shared" si="11"/>
        <v>293061.94285714283</v>
      </c>
      <c r="H83" s="85">
        <v>10000</v>
      </c>
      <c r="I83" s="86">
        <f t="shared" si="14"/>
        <v>283061.94285714283</v>
      </c>
      <c r="J83" s="85">
        <v>75000</v>
      </c>
      <c r="K83" s="87">
        <f t="shared" si="15"/>
        <v>-65000</v>
      </c>
      <c r="L83" s="85">
        <v>35000</v>
      </c>
      <c r="M83" s="87">
        <f t="shared" si="16"/>
        <v>40000</v>
      </c>
      <c r="N83" s="85">
        <v>150000</v>
      </c>
      <c r="O83" s="87">
        <f t="shared" si="16"/>
        <v>-115000</v>
      </c>
      <c r="P83" s="85">
        <v>35000</v>
      </c>
      <c r="Q83" s="87">
        <f t="shared" si="17"/>
        <v>0</v>
      </c>
      <c r="R83" s="62">
        <f>_xlfn.XLOOKUP(B83,'Data (TB)'!$A$6:$A$554,'Data (TB)'!$E$6:$E$554,0)/'Data (TB)'!$C$2*12</f>
        <v>227937.06666666665</v>
      </c>
      <c r="S83" s="62">
        <f>SUMIFS(Dave!$G$5:$G$152,Dave!$A$5:$A$152,B83)</f>
        <v>160000</v>
      </c>
      <c r="T83" s="87">
        <f t="shared" si="12"/>
        <v>-67937.066666666651</v>
      </c>
      <c r="U83" s="62">
        <f>SUMIFS(Dave!$H$5:$H$152,Dave!$A$5:$A$152,B83)</f>
        <v>160000</v>
      </c>
      <c r="V83" s="87">
        <f t="shared" si="13"/>
        <v>67937.066666666651</v>
      </c>
      <c r="X83" s="1">
        <f>MATCH(B83,'Master Budget'!$G$4:$G$360,0)</f>
        <v>145</v>
      </c>
    </row>
    <row r="84" spans="1:24" x14ac:dyDescent="0.25">
      <c r="A84" s="1">
        <v>76</v>
      </c>
      <c r="B84" s="1" t="s">
        <v>436</v>
      </c>
      <c r="C84" s="1" t="s">
        <v>331</v>
      </c>
      <c r="D84" s="1">
        <f>_xlfn.XLOOKUP(B84,'Master Budget'!$G$4:$G$210,'Master Budget'!$D$4:$D$210,0)</f>
        <v>200</v>
      </c>
      <c r="E84" s="22">
        <v>0</v>
      </c>
      <c r="F84" s="84">
        <f>SUMIFS('Data (TB)'!$E$6:$E$524,'Data (TB)'!$A$6:$A$524,'Budget Worksheet'!B84)</f>
        <v>1572.29</v>
      </c>
      <c r="G84" s="62">
        <f t="shared" si="11"/>
        <v>2695.3542857142857</v>
      </c>
      <c r="H84" s="85">
        <v>4000</v>
      </c>
      <c r="I84" s="86">
        <f t="shared" si="14"/>
        <v>-1304.6457142857143</v>
      </c>
      <c r="J84" s="85">
        <v>4000</v>
      </c>
      <c r="K84" s="87">
        <f t="shared" si="15"/>
        <v>0</v>
      </c>
      <c r="L84" s="85">
        <v>4000</v>
      </c>
      <c r="M84" s="87">
        <f t="shared" si="16"/>
        <v>0</v>
      </c>
      <c r="N84" s="85">
        <v>4000</v>
      </c>
      <c r="O84" s="87">
        <f t="shared" si="16"/>
        <v>0</v>
      </c>
      <c r="P84" s="85">
        <v>4000</v>
      </c>
      <c r="Q84" s="87">
        <f t="shared" si="17"/>
        <v>0</v>
      </c>
      <c r="R84" s="62">
        <f>_xlfn.XLOOKUP(B84,'Data (TB)'!$A$6:$A$554,'Data (TB)'!$E$6:$E$554,0)/'Data (TB)'!$C$2*12</f>
        <v>2096.3866666666668</v>
      </c>
      <c r="S84" s="62">
        <f>SUMIFS(Dave!$G$5:$G$152,Dave!$A$5:$A$152,B84)</f>
        <v>2000</v>
      </c>
      <c r="T84" s="87">
        <f t="shared" si="12"/>
        <v>-96.38666666666677</v>
      </c>
      <c r="U84" s="62">
        <f>SUMIFS(Dave!$H$5:$H$152,Dave!$A$5:$A$152,B84)</f>
        <v>4000</v>
      </c>
      <c r="V84" s="87">
        <f t="shared" si="13"/>
        <v>-1903.6133333333332</v>
      </c>
      <c r="X84" s="1">
        <f>MATCH(B84,'Master Budget'!$G$4:$G$360,0)</f>
        <v>146</v>
      </c>
    </row>
    <row r="85" spans="1:24" x14ac:dyDescent="0.25">
      <c r="A85" s="1">
        <v>77</v>
      </c>
      <c r="B85" s="1" t="s">
        <v>437</v>
      </c>
      <c r="C85" s="1" t="s">
        <v>438</v>
      </c>
      <c r="D85" s="1">
        <f>_xlfn.XLOOKUP(B85,'Master Budget'!$G$4:$G$210,'Master Budget'!$D$4:$D$210,0)</f>
        <v>200</v>
      </c>
      <c r="E85" s="22">
        <v>0</v>
      </c>
      <c r="F85" s="84">
        <f>SUMIFS('Data (TB)'!$E$6:$E$524,'Data (TB)'!$A$6:$A$524,'Budget Worksheet'!B85)</f>
        <v>0</v>
      </c>
      <c r="G85" s="62">
        <f t="shared" si="11"/>
        <v>0</v>
      </c>
      <c r="H85" s="85">
        <v>0</v>
      </c>
      <c r="I85" s="86">
        <f t="shared" si="14"/>
        <v>0</v>
      </c>
      <c r="J85" s="85">
        <v>0</v>
      </c>
      <c r="K85" s="87">
        <f t="shared" si="15"/>
        <v>0</v>
      </c>
      <c r="L85" s="85">
        <v>0</v>
      </c>
      <c r="M85" s="87">
        <f t="shared" si="16"/>
        <v>0</v>
      </c>
      <c r="N85" s="85">
        <v>250</v>
      </c>
      <c r="O85" s="87">
        <f t="shared" si="16"/>
        <v>-250</v>
      </c>
      <c r="P85" s="85">
        <v>0</v>
      </c>
      <c r="Q85" s="87">
        <f t="shared" si="17"/>
        <v>0</v>
      </c>
      <c r="R85" s="62">
        <f>_xlfn.XLOOKUP(B85,'Data (TB)'!$A$6:$A$554,'Data (TB)'!$E$6:$E$554,0)/'Data (TB)'!$C$2*12</f>
        <v>0</v>
      </c>
      <c r="S85" s="62">
        <f>SUMIFS(Dave!$G$5:$G$152,Dave!$A$5:$A$152,B85)</f>
        <v>0</v>
      </c>
      <c r="T85" s="87">
        <f t="shared" si="12"/>
        <v>0</v>
      </c>
      <c r="U85" s="62">
        <f>SUMIFS(Dave!$H$5:$H$152,Dave!$A$5:$A$152,B85)</f>
        <v>0</v>
      </c>
      <c r="V85" s="87">
        <f t="shared" si="13"/>
        <v>0</v>
      </c>
      <c r="X85" s="1">
        <f>MATCH(B85,'Master Budget'!$G$4:$G$360,0)</f>
        <v>147</v>
      </c>
    </row>
    <row r="86" spans="1:24" x14ac:dyDescent="0.25">
      <c r="A86" s="1">
        <v>78</v>
      </c>
      <c r="B86" s="1" t="s">
        <v>439</v>
      </c>
      <c r="C86" s="1" t="s">
        <v>43</v>
      </c>
      <c r="D86" s="1">
        <f>_xlfn.XLOOKUP(B86,'Master Budget'!$G$4:$G$210,'Master Budget'!$D$4:$D$210,0)</f>
        <v>700</v>
      </c>
      <c r="E86" s="22">
        <v>25067.97</v>
      </c>
      <c r="F86" s="84">
        <f>SUMIFS('Data (TB)'!$E$6:$E$524,'Data (TB)'!$A$6:$A$524,'Budget Worksheet'!B86)</f>
        <v>21356.05</v>
      </c>
      <c r="G86" s="62">
        <f t="shared" si="11"/>
        <v>36610.371428571423</v>
      </c>
      <c r="H86" s="85">
        <v>10932</v>
      </c>
      <c r="I86" s="86">
        <f t="shared" si="14"/>
        <v>25678.371428571423</v>
      </c>
      <c r="J86" s="85">
        <v>20000</v>
      </c>
      <c r="K86" s="87">
        <f t="shared" si="15"/>
        <v>-9068</v>
      </c>
      <c r="L86" s="85">
        <v>0</v>
      </c>
      <c r="M86" s="87">
        <f>J86-L86</f>
        <v>20000</v>
      </c>
      <c r="N86" s="85">
        <v>20000</v>
      </c>
      <c r="O86" s="87">
        <f>L86-N86</f>
        <v>-20000</v>
      </c>
      <c r="P86" s="85">
        <v>0</v>
      </c>
      <c r="Q86" s="87">
        <f t="shared" si="17"/>
        <v>0</v>
      </c>
      <c r="R86" s="62">
        <f>_xlfn.XLOOKUP(B86,'Data (TB)'!$A$6:$A$554,'Data (TB)'!$E$6:$E$554,0)/'Data (TB)'!$C$2*12</f>
        <v>28474.73333333333</v>
      </c>
      <c r="S86" s="62">
        <f>SUMIFS(Dave!$G$5:$G$152,Dave!$A$5:$A$152,B86)</f>
        <v>0</v>
      </c>
      <c r="T86" s="87">
        <f t="shared" si="12"/>
        <v>-28474.73333333333</v>
      </c>
      <c r="U86" s="62">
        <f>SUMIFS(Dave!$H$5:$H$152,Dave!$A$5:$A$152,B86)</f>
        <v>0</v>
      </c>
      <c r="V86" s="87">
        <f t="shared" si="13"/>
        <v>28474.73333333333</v>
      </c>
      <c r="X86" s="1">
        <f>MATCH(B86,'Master Budget'!$G$4:$G$360,0)</f>
        <v>148</v>
      </c>
    </row>
    <row r="87" spans="1:24" x14ac:dyDescent="0.25">
      <c r="A87" s="126">
        <v>79</v>
      </c>
      <c r="B87" s="126" t="s">
        <v>440</v>
      </c>
      <c r="C87" s="126" t="s">
        <v>344</v>
      </c>
      <c r="D87" s="126">
        <f>_xlfn.XLOOKUP(B87,'Master Budget'!$G$4:$G$210,'Master Budget'!$D$4:$D$210,0)</f>
        <v>710</v>
      </c>
      <c r="E87" s="127">
        <v>0</v>
      </c>
      <c r="F87" s="128">
        <f>SUMIFS('Data (TB)'!$E$6:$E$524,'Data (TB)'!$A$6:$A$524,'Budget Worksheet'!B87)</f>
        <v>341070.28</v>
      </c>
      <c r="G87" s="129">
        <f t="shared" si="11"/>
        <v>584691.90857142862</v>
      </c>
      <c r="H87" s="130">
        <v>0</v>
      </c>
      <c r="I87" s="131">
        <f t="shared" si="14"/>
        <v>584691.90857142862</v>
      </c>
      <c r="J87" s="130">
        <v>0</v>
      </c>
      <c r="K87" s="132">
        <f t="shared" si="15"/>
        <v>0</v>
      </c>
      <c r="L87" s="130">
        <v>0</v>
      </c>
      <c r="M87" s="132">
        <f t="shared" si="16"/>
        <v>0</v>
      </c>
      <c r="N87" s="130">
        <v>0</v>
      </c>
      <c r="O87" s="132">
        <f t="shared" si="16"/>
        <v>0</v>
      </c>
      <c r="P87" s="130">
        <v>515000</v>
      </c>
      <c r="Q87" s="132">
        <f t="shared" si="17"/>
        <v>-515000</v>
      </c>
      <c r="R87" s="62">
        <f>_xlfn.XLOOKUP(B87,'Data (TB)'!$A$6:$A$554,'Data (TB)'!$E$6:$E$554,0)/'Data (TB)'!$C$2*12</f>
        <v>454760.37333333335</v>
      </c>
      <c r="S87" s="129">
        <f>_xlfn.XLOOKUP(B87,'27 Capital Budget'!$N$6:$N$11,'27 Capital Budget'!$U$6:$U$11,0)</f>
        <v>515000</v>
      </c>
      <c r="T87" s="87">
        <f t="shared" si="12"/>
        <v>60239.626666666649</v>
      </c>
      <c r="U87" s="129">
        <f>_xlfn.XLOOKUP(B87,'27 Capital Budget'!$N$6:$N$11,'27 Capital Budget'!$V$6:$V$11,0)</f>
        <v>0</v>
      </c>
      <c r="V87" s="132">
        <f t="shared" si="13"/>
        <v>454760.37333333335</v>
      </c>
      <c r="X87" s="1">
        <f>MATCH(B87,'Master Budget'!$G$4:$G$360,0)</f>
        <v>149</v>
      </c>
    </row>
    <row r="88" spans="1:24" x14ac:dyDescent="0.25">
      <c r="A88" s="1">
        <v>80</v>
      </c>
      <c r="B88" s="1" t="s">
        <v>841</v>
      </c>
      <c r="C88" s="1" t="s">
        <v>1070</v>
      </c>
      <c r="D88" s="1">
        <f>_xlfn.XLOOKUP(B88,'Master Budget'!$G$4:$G$210,'Master Budget'!$D$4:$D$210,0)</f>
        <v>200</v>
      </c>
      <c r="E88" s="22">
        <v>15178.11</v>
      </c>
      <c r="F88" s="84">
        <f>SUMIFS('Data (TB)'!$E$6:$E$524,'Data (TB)'!$A$6:$A$524,'Budget Worksheet'!B88)</f>
        <v>14605.19</v>
      </c>
      <c r="G88" s="62">
        <f t="shared" si="11"/>
        <v>25037.468571428573</v>
      </c>
      <c r="H88" s="85">
        <v>15000</v>
      </c>
      <c r="I88" s="86">
        <f t="shared" si="14"/>
        <v>10037.468571428573</v>
      </c>
      <c r="J88" s="85">
        <v>0</v>
      </c>
      <c r="K88" s="87">
        <f t="shared" si="15"/>
        <v>15000</v>
      </c>
      <c r="L88" s="85">
        <v>0</v>
      </c>
      <c r="M88" s="87">
        <f t="shared" si="16"/>
        <v>0</v>
      </c>
      <c r="N88" s="85">
        <v>0</v>
      </c>
      <c r="O88" s="87">
        <f t="shared" si="16"/>
        <v>0</v>
      </c>
      <c r="P88" s="85">
        <v>0</v>
      </c>
      <c r="Q88" s="87">
        <f t="shared" si="17"/>
        <v>0</v>
      </c>
      <c r="R88" s="62">
        <f>_xlfn.XLOOKUP(B88,'Data (TB)'!$A$6:$A$554,'Data (TB)'!$E$6:$E$554,0)/'Data (TB)'!$C$2*12</f>
        <v>19473.58666666667</v>
      </c>
      <c r="S88" s="62">
        <f>SUMIFS(Dave!$G$5:$G$152,Dave!$A$5:$A$152,B88)</f>
        <v>0</v>
      </c>
      <c r="T88" s="87">
        <f t="shared" si="12"/>
        <v>-19473.58666666667</v>
      </c>
      <c r="U88" s="62">
        <f>SUMIFS(Dave!$H$5:$H$152,Dave!$A$5:$A$152,B88)</f>
        <v>0</v>
      </c>
      <c r="V88" s="87">
        <f t="shared" si="13"/>
        <v>19473.58666666667</v>
      </c>
      <c r="X88" s="1">
        <f>MATCH(B88,'Master Budget'!$G$4:$G$360,0)</f>
        <v>150</v>
      </c>
    </row>
    <row r="89" spans="1:24" ht="15.75" thickBot="1" x14ac:dyDescent="0.3">
      <c r="A89" s="88">
        <v>81</v>
      </c>
      <c r="B89" s="88" t="s">
        <v>442</v>
      </c>
      <c r="C89" s="88" t="s">
        <v>164</v>
      </c>
      <c r="D89" s="88">
        <f>_xlfn.XLOOKUP(B89,'Master Budget'!$G$4:$G$210,'Master Budget'!$D$4:$D$210,0)</f>
        <v>720</v>
      </c>
      <c r="E89" s="89">
        <v>0</v>
      </c>
      <c r="F89" s="90">
        <f>SUMIFS('Data (TB)'!$E$6:$E$524,'Data (TB)'!$A$6:$A$524,'Budget Worksheet'!B89)</f>
        <v>0</v>
      </c>
      <c r="G89" s="91">
        <f t="shared" si="11"/>
        <v>0</v>
      </c>
      <c r="H89" s="92">
        <v>0</v>
      </c>
      <c r="I89" s="93">
        <f t="shared" si="14"/>
        <v>0</v>
      </c>
      <c r="J89" s="92">
        <v>0</v>
      </c>
      <c r="K89" s="94">
        <f t="shared" si="15"/>
        <v>0</v>
      </c>
      <c r="L89" s="92">
        <v>0</v>
      </c>
      <c r="M89" s="94">
        <f t="shared" si="16"/>
        <v>0</v>
      </c>
      <c r="N89" s="92">
        <v>0</v>
      </c>
      <c r="O89" s="94">
        <f t="shared" si="16"/>
        <v>0</v>
      </c>
      <c r="P89" s="92">
        <v>0</v>
      </c>
      <c r="Q89" s="94">
        <f t="shared" si="17"/>
        <v>0</v>
      </c>
      <c r="R89" s="62">
        <f>_xlfn.XLOOKUP(B89,'Data (TB)'!$A$6:$A$554,'Data (TB)'!$E$6:$E$554,0)/'Data (TB)'!$C$2*12</f>
        <v>0</v>
      </c>
      <c r="S89" s="91">
        <f>SUMIFS(Dave!$G$5:$G$152,Dave!$A$5:$A$152,B89)</f>
        <v>0</v>
      </c>
      <c r="T89" s="87">
        <f t="shared" si="12"/>
        <v>0</v>
      </c>
      <c r="U89" s="91">
        <f>SUMIFS(Dave!$H$5:$H$152,Dave!$A$5:$A$152,B89)</f>
        <v>0</v>
      </c>
      <c r="V89" s="94">
        <f t="shared" si="13"/>
        <v>0</v>
      </c>
      <c r="X89" s="1">
        <f>MATCH(B89,'Master Budget'!$G$4:$G$360,0)</f>
        <v>151</v>
      </c>
    </row>
    <row r="90" spans="1:24" x14ac:dyDescent="0.25">
      <c r="A90" s="1">
        <v>82</v>
      </c>
      <c r="B90" s="1" t="s">
        <v>578</v>
      </c>
      <c r="C90" s="1" t="s">
        <v>579</v>
      </c>
      <c r="D90" s="1">
        <f>_xlfn.XLOOKUP(B90,'Master Budget'!$G$4:$G$210,'Master Budget'!$D$4:$D$210,0)</f>
        <v>70</v>
      </c>
      <c r="E90" s="22">
        <v>-1045677.3</v>
      </c>
      <c r="F90" s="84">
        <f>SUMIFS('Data (TB)'!$E$6:$E$524,'Data (TB)'!$A$6:$A$524,'Budget Worksheet'!B90)</f>
        <v>-25498.75</v>
      </c>
      <c r="G90" s="62">
        <f t="shared" si="11"/>
        <v>-43712.142857142855</v>
      </c>
      <c r="H90" s="85">
        <v>-3700000</v>
      </c>
      <c r="I90" s="86">
        <f t="shared" si="14"/>
        <v>3656287.8571428573</v>
      </c>
      <c r="J90" s="85">
        <v>-3700000</v>
      </c>
      <c r="K90" s="87">
        <f t="shared" si="15"/>
        <v>0</v>
      </c>
      <c r="L90" s="85">
        <v>-3700000</v>
      </c>
      <c r="M90" s="86">
        <f t="shared" si="16"/>
        <v>0</v>
      </c>
      <c r="N90" s="85">
        <v>-3700000</v>
      </c>
      <c r="O90" s="86">
        <f t="shared" si="16"/>
        <v>0</v>
      </c>
      <c r="P90" s="85">
        <v>-3700000</v>
      </c>
      <c r="Q90" s="86">
        <f t="shared" si="17"/>
        <v>0</v>
      </c>
      <c r="R90" s="62">
        <f>_xlfn.XLOOKUP(B90,'Data (TB)'!$A$6:$A$554,'Data (TB)'!$E$6:$E$554,0)/'Data (TB)'!$C$2*12</f>
        <v>-33998.333333333328</v>
      </c>
      <c r="S90" s="100">
        <f>-SUMIFS(Chris!$G$5:$G$150,Chris!$A$5:$A$150,B90)</f>
        <v>0</v>
      </c>
      <c r="T90" s="87">
        <f t="shared" si="12"/>
        <v>-33998.333333333328</v>
      </c>
      <c r="U90" s="100">
        <f>-SUMIFS(Chris!$H$4:$H$150,Chris!$A$4:$A$150,B90)</f>
        <v>-1400000</v>
      </c>
      <c r="V90" s="86">
        <f t="shared" si="13"/>
        <v>1366001.6666666667</v>
      </c>
      <c r="X90" s="1">
        <f>MATCH(B90,'Master Budget'!$G$4:$G$360,0)</f>
        <v>192</v>
      </c>
    </row>
    <row r="91" spans="1:24" x14ac:dyDescent="0.25">
      <c r="A91" s="1">
        <v>83</v>
      </c>
      <c r="B91" s="1" t="s">
        <v>580</v>
      </c>
      <c r="C91" s="1" t="s">
        <v>581</v>
      </c>
      <c r="D91" s="1">
        <f>_xlfn.XLOOKUP(B91,'Master Budget'!$G$4:$G$210,'Master Budget'!$D$4:$D$210,0)</f>
        <v>30</v>
      </c>
      <c r="E91" s="22">
        <v>-360444.63</v>
      </c>
      <c r="F91" s="84">
        <f>SUMIFS('Data (TB)'!$E$6:$E$524,'Data (TB)'!$A$6:$A$524,'Budget Worksheet'!B91)</f>
        <v>-294672.45</v>
      </c>
      <c r="G91" s="62">
        <f t="shared" si="11"/>
        <v>-505152.77142857143</v>
      </c>
      <c r="H91" s="85">
        <v>-390000</v>
      </c>
      <c r="I91" s="86">
        <f t="shared" si="14"/>
        <v>-115152.77142857143</v>
      </c>
      <c r="J91" s="85">
        <v>-390000</v>
      </c>
      <c r="K91" s="87">
        <f t="shared" si="15"/>
        <v>0</v>
      </c>
      <c r="L91" s="85">
        <v>-390000</v>
      </c>
      <c r="M91" s="86">
        <f t="shared" si="16"/>
        <v>0</v>
      </c>
      <c r="N91" s="85">
        <v>-390000</v>
      </c>
      <c r="O91" s="86">
        <f t="shared" si="16"/>
        <v>0</v>
      </c>
      <c r="P91" s="85">
        <v>-390000</v>
      </c>
      <c r="Q91" s="86">
        <f t="shared" si="17"/>
        <v>0</v>
      </c>
      <c r="R91" s="62">
        <f>_xlfn.XLOOKUP(B91,'Data (TB)'!$A$6:$A$554,'Data (TB)'!$E$6:$E$554,0)/'Data (TB)'!$C$2*12</f>
        <v>-392896.60000000003</v>
      </c>
      <c r="S91" s="100">
        <f>-SUMIFS(Chris!$G$5:$G$150,Chris!$A$5:$A$150,B91)</f>
        <v>-390000</v>
      </c>
      <c r="T91" s="87">
        <f t="shared" si="12"/>
        <v>-2896.6000000000349</v>
      </c>
      <c r="U91" s="100">
        <f>-SUMIFS(Chris!$H$5:$H$150,Chris!$A$5:$A$150,B91)</f>
        <v>-390000</v>
      </c>
      <c r="V91" s="86">
        <f t="shared" si="13"/>
        <v>-2896.6000000000349</v>
      </c>
      <c r="X91" s="1">
        <f>MATCH(B91,'Master Budget'!$G$4:$G$360,0)</f>
        <v>193</v>
      </c>
    </row>
    <row r="92" spans="1:24" x14ac:dyDescent="0.25">
      <c r="A92" s="1">
        <v>84</v>
      </c>
      <c r="B92" s="1" t="s">
        <v>582</v>
      </c>
      <c r="C92" s="1" t="s">
        <v>583</v>
      </c>
      <c r="D92" s="1">
        <f>_xlfn.XLOOKUP(B92,'Master Budget'!$G$4:$G$210,'Master Budget'!$D$4:$D$210,0)</f>
        <v>30</v>
      </c>
      <c r="E92" s="22">
        <v>65.78</v>
      </c>
      <c r="F92" s="84">
        <f>SUMIFS('Data (TB)'!$E$6:$E$524,'Data (TB)'!$A$6:$A$524,'Budget Worksheet'!B92)</f>
        <v>0</v>
      </c>
      <c r="G92" s="62">
        <f t="shared" si="11"/>
        <v>0</v>
      </c>
      <c r="H92" s="85">
        <v>0</v>
      </c>
      <c r="I92" s="86">
        <f t="shared" si="14"/>
        <v>0</v>
      </c>
      <c r="J92" s="85">
        <v>-30</v>
      </c>
      <c r="K92" s="87">
        <f t="shared" si="15"/>
        <v>30</v>
      </c>
      <c r="L92" s="85">
        <v>-30</v>
      </c>
      <c r="M92" s="86">
        <f t="shared" si="16"/>
        <v>0</v>
      </c>
      <c r="N92" s="85">
        <v>-30</v>
      </c>
      <c r="O92" s="86">
        <f t="shared" si="16"/>
        <v>0</v>
      </c>
      <c r="P92" s="85">
        <v>-30</v>
      </c>
      <c r="Q92" s="86">
        <f t="shared" si="17"/>
        <v>0</v>
      </c>
      <c r="R92" s="62">
        <f>_xlfn.XLOOKUP(B92,'Data (TB)'!$A$6:$A$554,'Data (TB)'!$E$6:$E$554,0)/'Data (TB)'!$C$2*12</f>
        <v>0</v>
      </c>
      <c r="S92" s="100">
        <f>-SUMIFS(Chris!$G$5:$G$150,Chris!$A$5:$A$150,B92)</f>
        <v>-30</v>
      </c>
      <c r="T92" s="87">
        <f t="shared" si="12"/>
        <v>30</v>
      </c>
      <c r="U92" s="100">
        <f>-SUMIFS(Chris!$H$5:$H$150,Chris!$A$5:$A$150,B92)</f>
        <v>-30</v>
      </c>
      <c r="V92" s="86">
        <f t="shared" si="13"/>
        <v>30</v>
      </c>
      <c r="X92" s="1">
        <f>MATCH(B92,'Master Budget'!$G$4:$G$360,0)</f>
        <v>194</v>
      </c>
    </row>
    <row r="93" spans="1:24" x14ac:dyDescent="0.25">
      <c r="A93" s="1">
        <v>85</v>
      </c>
      <c r="B93" s="1" t="s">
        <v>584</v>
      </c>
      <c r="C93" s="1" t="s">
        <v>585</v>
      </c>
      <c r="D93" s="1">
        <f>_xlfn.XLOOKUP(B93,'Master Budget'!$G$4:$G$210,'Master Budget'!$D$4:$D$210,0)</f>
        <v>30</v>
      </c>
      <c r="E93" s="22">
        <v>0</v>
      </c>
      <c r="F93" s="84">
        <f>SUMIFS('Data (TB)'!$E$6:$E$524,'Data (TB)'!$A$6:$A$524,'Budget Worksheet'!B93)</f>
        <v>-6550.01</v>
      </c>
      <c r="G93" s="62">
        <f t="shared" si="11"/>
        <v>-11228.588571428572</v>
      </c>
      <c r="H93" s="85">
        <v>-8580</v>
      </c>
      <c r="I93" s="86">
        <f t="shared" si="14"/>
        <v>-2648.5885714285723</v>
      </c>
      <c r="J93" s="85">
        <v>-8580</v>
      </c>
      <c r="K93" s="87">
        <f t="shared" si="15"/>
        <v>0</v>
      </c>
      <c r="L93" s="85">
        <v>-8580</v>
      </c>
      <c r="M93" s="86">
        <f t="shared" si="16"/>
        <v>0</v>
      </c>
      <c r="N93" s="85">
        <v>-8580</v>
      </c>
      <c r="O93" s="86">
        <f t="shared" si="16"/>
        <v>0</v>
      </c>
      <c r="P93" s="85">
        <v>-8580</v>
      </c>
      <c r="Q93" s="86">
        <f t="shared" si="17"/>
        <v>0</v>
      </c>
      <c r="R93" s="62">
        <f>_xlfn.XLOOKUP(B93,'Data (TB)'!$A$6:$A$554,'Data (TB)'!$E$6:$E$554,0)/'Data (TB)'!$C$2*12</f>
        <v>-8733.3466666666664</v>
      </c>
      <c r="S93" s="100">
        <f>-SUMIFS(Chris!$G$5:$G$150,Chris!$A$5:$A$150,B93)</f>
        <v>-8580</v>
      </c>
      <c r="T93" s="87">
        <f t="shared" si="12"/>
        <v>-153.34666666666635</v>
      </c>
      <c r="U93" s="100">
        <f>-SUMIFS(Chris!$H$5:$H$150,Chris!$A$5:$A$150,B93)</f>
        <v>-8580</v>
      </c>
      <c r="V93" s="86">
        <f t="shared" si="13"/>
        <v>-153.34666666666635</v>
      </c>
      <c r="X93" s="1">
        <f>MATCH(B93,'Master Budget'!$G$4:$G$360,0)</f>
        <v>195</v>
      </c>
    </row>
    <row r="94" spans="1:24" x14ac:dyDescent="0.25">
      <c r="A94" s="1">
        <v>86</v>
      </c>
      <c r="B94" s="1" t="s">
        <v>586</v>
      </c>
      <c r="C94" s="1" t="s">
        <v>587</v>
      </c>
      <c r="D94" s="1">
        <f>_xlfn.XLOOKUP(B94,'Master Budget'!$G$4:$G$210,'Master Budget'!$D$4:$D$210,0)</f>
        <v>30</v>
      </c>
      <c r="E94" s="22">
        <v>-347583.06</v>
      </c>
      <c r="F94" s="84">
        <f>SUMIFS('Data (TB)'!$E$6:$E$524,'Data (TB)'!$A$6:$A$524,'Budget Worksheet'!B94)</f>
        <v>-302907.17</v>
      </c>
      <c r="G94" s="62">
        <f t="shared" si="11"/>
        <v>-519269.43428571423</v>
      </c>
      <c r="H94" s="85">
        <v>-350000</v>
      </c>
      <c r="I94" s="86">
        <f t="shared" si="14"/>
        <v>-169269.43428571423</v>
      </c>
      <c r="J94" s="85">
        <v>-350000</v>
      </c>
      <c r="K94" s="87">
        <f t="shared" si="15"/>
        <v>0</v>
      </c>
      <c r="L94" s="85">
        <v>-350000</v>
      </c>
      <c r="M94" s="86">
        <f t="shared" si="16"/>
        <v>0</v>
      </c>
      <c r="N94" s="85">
        <v>-350000</v>
      </c>
      <c r="O94" s="86">
        <f t="shared" si="16"/>
        <v>0</v>
      </c>
      <c r="P94" s="85">
        <v>-350000</v>
      </c>
      <c r="Q94" s="86">
        <f t="shared" si="17"/>
        <v>0</v>
      </c>
      <c r="R94" s="62">
        <f>_xlfn.XLOOKUP(B94,'Data (TB)'!$A$6:$A$554,'Data (TB)'!$E$6:$E$554,0)/'Data (TB)'!$C$2*12</f>
        <v>-403876.22666666668</v>
      </c>
      <c r="S94" s="100">
        <f>-SUMIFS(Chris!$G$5:$G$150,Chris!$A$5:$A$150,B94)</f>
        <v>-350000</v>
      </c>
      <c r="T94" s="87">
        <f t="shared" si="12"/>
        <v>-53876.226666666684</v>
      </c>
      <c r="U94" s="100">
        <f>-SUMIFS(Chris!$H$5:$H$150,Chris!$A$5:$A$150,B94)</f>
        <v>-350000</v>
      </c>
      <c r="V94" s="86">
        <f t="shared" si="13"/>
        <v>-53876.226666666684</v>
      </c>
      <c r="X94" s="1">
        <f>MATCH(B94,'Master Budget'!$G$4:$G$360,0)</f>
        <v>196</v>
      </c>
    </row>
    <row r="95" spans="1:24" x14ac:dyDescent="0.25">
      <c r="A95" s="1">
        <v>87</v>
      </c>
      <c r="B95" s="1" t="s">
        <v>588</v>
      </c>
      <c r="C95" s="1" t="s">
        <v>589</v>
      </c>
      <c r="D95" s="1">
        <f>_xlfn.XLOOKUP(B95,'Master Budget'!$G$4:$G$210,'Master Budget'!$D$4:$D$210,0)</f>
        <v>30</v>
      </c>
      <c r="E95" s="22">
        <v>0</v>
      </c>
      <c r="F95" s="84">
        <f>SUMIFS('Data (TB)'!$E$6:$E$524,'Data (TB)'!$A$6:$A$524,'Budget Worksheet'!B95)</f>
        <v>0</v>
      </c>
      <c r="G95" s="62">
        <f t="shared" si="11"/>
        <v>0</v>
      </c>
      <c r="H95" s="85">
        <v>0</v>
      </c>
      <c r="I95" s="86">
        <f t="shared" si="14"/>
        <v>0</v>
      </c>
      <c r="J95" s="85">
        <v>0</v>
      </c>
      <c r="K95" s="87">
        <f t="shared" si="15"/>
        <v>0</v>
      </c>
      <c r="L95" s="85">
        <v>0</v>
      </c>
      <c r="M95" s="86">
        <f t="shared" si="16"/>
        <v>0</v>
      </c>
      <c r="N95" s="85">
        <v>0</v>
      </c>
      <c r="O95" s="86">
        <f t="shared" si="16"/>
        <v>0</v>
      </c>
      <c r="P95" s="85">
        <v>0</v>
      </c>
      <c r="Q95" s="86">
        <f t="shared" si="17"/>
        <v>0</v>
      </c>
      <c r="R95" s="62">
        <f>_xlfn.XLOOKUP(B95,'Data (TB)'!$A$6:$A$554,'Data (TB)'!$E$6:$E$554,0)/'Data (TB)'!$C$2*12</f>
        <v>0</v>
      </c>
      <c r="S95" s="100">
        <f>-SUMIFS(Chris!$G$5:$G$150,Chris!$A$5:$A$150,B95)</f>
        <v>0</v>
      </c>
      <c r="T95" s="87">
        <f t="shared" si="12"/>
        <v>0</v>
      </c>
      <c r="U95" s="100">
        <f>-SUMIFS(Chris!$H$5:$H$150,Chris!$A$5:$A$150,B95)</f>
        <v>0</v>
      </c>
      <c r="V95" s="86">
        <f t="shared" si="13"/>
        <v>0</v>
      </c>
      <c r="X95" s="1">
        <f>MATCH(B95,'Master Budget'!$G$4:$G$360,0)</f>
        <v>197</v>
      </c>
    </row>
    <row r="96" spans="1:24" x14ac:dyDescent="0.25">
      <c r="A96" s="1">
        <v>88</v>
      </c>
      <c r="B96" s="1" t="s">
        <v>590</v>
      </c>
      <c r="C96" s="1" t="s">
        <v>591</v>
      </c>
      <c r="D96" s="1">
        <f>_xlfn.XLOOKUP(B96,'Master Budget'!$G$4:$G$210,'Master Budget'!$D$4:$D$210,0)</f>
        <v>30</v>
      </c>
      <c r="E96" s="22">
        <v>0</v>
      </c>
      <c r="F96" s="84">
        <f>SUMIFS('Data (TB)'!$E$6:$E$524,'Data (TB)'!$A$6:$A$524,'Budget Worksheet'!B96)</f>
        <v>0</v>
      </c>
      <c r="G96" s="62">
        <f t="shared" si="11"/>
        <v>0</v>
      </c>
      <c r="H96" s="85">
        <v>0</v>
      </c>
      <c r="I96" s="86">
        <f t="shared" si="14"/>
        <v>0</v>
      </c>
      <c r="J96" s="85">
        <v>0</v>
      </c>
      <c r="K96" s="87">
        <f t="shared" si="15"/>
        <v>0</v>
      </c>
      <c r="L96" s="85">
        <v>0</v>
      </c>
      <c r="M96" s="86">
        <f t="shared" si="16"/>
        <v>0</v>
      </c>
      <c r="N96" s="85">
        <v>0</v>
      </c>
      <c r="O96" s="86">
        <f t="shared" si="16"/>
        <v>0</v>
      </c>
      <c r="P96" s="85">
        <v>0</v>
      </c>
      <c r="Q96" s="86">
        <f t="shared" si="17"/>
        <v>0</v>
      </c>
      <c r="R96" s="62">
        <f>_xlfn.XLOOKUP(B96,'Data (TB)'!$A$6:$A$554,'Data (TB)'!$E$6:$E$554,0)/'Data (TB)'!$C$2*12</f>
        <v>0</v>
      </c>
      <c r="S96" s="100">
        <f>-SUMIFS(Chris!$G$5:$G$150,Chris!$A$5:$A$150,B96)</f>
        <v>0</v>
      </c>
      <c r="T96" s="87">
        <f t="shared" si="12"/>
        <v>0</v>
      </c>
      <c r="U96" s="100">
        <f>-SUMIFS(Chris!$H$5:$H$150,Chris!$A$5:$A$150,B96)</f>
        <v>0</v>
      </c>
      <c r="V96" s="86">
        <f t="shared" si="13"/>
        <v>0</v>
      </c>
      <c r="X96" s="1">
        <f>MATCH(B96,'Master Budget'!$G$4:$G$360,0)</f>
        <v>198</v>
      </c>
    </row>
    <row r="97" spans="1:24" x14ac:dyDescent="0.25">
      <c r="A97" s="1">
        <v>89</v>
      </c>
      <c r="B97" s="1" t="s">
        <v>592</v>
      </c>
      <c r="C97" s="1" t="s">
        <v>593</v>
      </c>
      <c r="D97" s="1">
        <f>_xlfn.XLOOKUP(B97,'Master Budget'!$G$4:$G$210,'Master Budget'!$D$4:$D$210,0)</f>
        <v>30</v>
      </c>
      <c r="E97" s="22">
        <v>0</v>
      </c>
      <c r="F97" s="84">
        <f>SUMIFS('Data (TB)'!$E$6:$E$524,'Data (TB)'!$A$6:$A$524,'Budget Worksheet'!B97)</f>
        <v>0</v>
      </c>
      <c r="G97" s="62">
        <f t="shared" ref="G97:G131" si="18">F97/$G$1*12</f>
        <v>0</v>
      </c>
      <c r="H97" s="85">
        <v>0</v>
      </c>
      <c r="I97" s="86">
        <f t="shared" si="14"/>
        <v>0</v>
      </c>
      <c r="J97" s="85">
        <v>0</v>
      </c>
      <c r="K97" s="87">
        <f t="shared" si="15"/>
        <v>0</v>
      </c>
      <c r="L97" s="85">
        <v>0</v>
      </c>
      <c r="M97" s="86">
        <f t="shared" si="16"/>
        <v>0</v>
      </c>
      <c r="N97" s="85">
        <v>0</v>
      </c>
      <c r="O97" s="86">
        <f t="shared" si="16"/>
        <v>0</v>
      </c>
      <c r="P97" s="85">
        <v>0</v>
      </c>
      <c r="Q97" s="86">
        <f t="shared" si="17"/>
        <v>0</v>
      </c>
      <c r="R97" s="62">
        <f>_xlfn.XLOOKUP(B97,'Data (TB)'!$A$6:$A$554,'Data (TB)'!$E$6:$E$554,0)/'Data (TB)'!$C$2*12</f>
        <v>0</v>
      </c>
      <c r="S97" s="100">
        <f>-SUMIFS(Chris!$G$5:$G$150,Chris!$A$5:$A$150,B97)</f>
        <v>0</v>
      </c>
      <c r="T97" s="87">
        <f t="shared" si="12"/>
        <v>0</v>
      </c>
      <c r="U97" s="100">
        <f>-SUMIFS(Chris!$H$5:$H$150,Chris!$A$5:$A$150,B97)</f>
        <v>0</v>
      </c>
      <c r="V97" s="86">
        <f t="shared" si="13"/>
        <v>0</v>
      </c>
      <c r="X97" s="1">
        <f>MATCH(B97,'Master Budget'!$G$4:$G$360,0)</f>
        <v>199</v>
      </c>
    </row>
    <row r="98" spans="1:24" x14ac:dyDescent="0.25">
      <c r="A98" s="1">
        <v>90</v>
      </c>
      <c r="B98" s="1" t="s">
        <v>594</v>
      </c>
      <c r="C98" s="1" t="s">
        <v>256</v>
      </c>
      <c r="D98" s="1">
        <f>_xlfn.XLOOKUP(B98,'Master Budget'!$G$4:$G$210,'Master Budget'!$D$4:$D$210,0)</f>
        <v>960</v>
      </c>
      <c r="E98" s="22">
        <v>0</v>
      </c>
      <c r="F98" s="84">
        <f>SUMIFS('Data (TB)'!$E$6:$E$524,'Data (TB)'!$A$6:$A$524,'Budget Worksheet'!B98)</f>
        <v>0</v>
      </c>
      <c r="G98" s="62">
        <f t="shared" si="18"/>
        <v>0</v>
      </c>
      <c r="H98" s="85">
        <v>0</v>
      </c>
      <c r="I98" s="86">
        <f t="shared" si="14"/>
        <v>0</v>
      </c>
      <c r="J98" s="85">
        <v>0</v>
      </c>
      <c r="K98" s="87">
        <f t="shared" si="15"/>
        <v>0</v>
      </c>
      <c r="L98" s="85">
        <v>0</v>
      </c>
      <c r="M98" s="86">
        <f t="shared" si="16"/>
        <v>0</v>
      </c>
      <c r="N98" s="85">
        <v>0</v>
      </c>
      <c r="O98" s="86">
        <f t="shared" si="16"/>
        <v>0</v>
      </c>
      <c r="P98" s="85">
        <v>0</v>
      </c>
      <c r="Q98" s="86">
        <f t="shared" si="17"/>
        <v>0</v>
      </c>
      <c r="R98" s="62">
        <f>_xlfn.XLOOKUP(B98,'Data (TB)'!$A$6:$A$554,'Data (TB)'!$E$6:$E$554,0)/'Data (TB)'!$C$2*12</f>
        <v>0</v>
      </c>
      <c r="S98" s="100">
        <f>-SUMIFS(Chris!$G$5:$G$150,Chris!$A$5:$A$150,B98)</f>
        <v>0</v>
      </c>
      <c r="T98" s="87">
        <f t="shared" si="12"/>
        <v>0</v>
      </c>
      <c r="U98" s="100">
        <f>-SUMIFS(Chris!$H$5:$H$150,Chris!$A$5:$A$150,B98)</f>
        <v>0</v>
      </c>
      <c r="V98" s="86">
        <f t="shared" si="13"/>
        <v>0</v>
      </c>
      <c r="X98" s="1">
        <f>MATCH(B98,'Master Budget'!$G$4:$G$360,0)</f>
        <v>200</v>
      </c>
    </row>
    <row r="99" spans="1:24" x14ac:dyDescent="0.25">
      <c r="A99" s="1">
        <v>91</v>
      </c>
      <c r="B99" s="1" t="s">
        <v>595</v>
      </c>
      <c r="C99" s="1" t="s">
        <v>99</v>
      </c>
      <c r="D99" s="1">
        <f>_xlfn.XLOOKUP(B99,'Master Budget'!$G$4:$G$210,'Master Budget'!$D$4:$D$210,0)</f>
        <v>30</v>
      </c>
      <c r="E99" s="22">
        <v>-2478.87</v>
      </c>
      <c r="F99" s="84">
        <f>SUMIFS('Data (TB)'!$E$6:$E$524,'Data (TB)'!$A$6:$A$524,'Budget Worksheet'!B99)</f>
        <v>-53047.48</v>
      </c>
      <c r="G99" s="62">
        <f t="shared" si="18"/>
        <v>-90938.537142857153</v>
      </c>
      <c r="H99" s="85">
        <v>0</v>
      </c>
      <c r="I99" s="86">
        <f t="shared" si="14"/>
        <v>-90938.537142857153</v>
      </c>
      <c r="J99" s="85">
        <v>-4110</v>
      </c>
      <c r="K99" s="87">
        <f t="shared" si="15"/>
        <v>4110</v>
      </c>
      <c r="L99" s="85">
        <v>-4110</v>
      </c>
      <c r="M99" s="86">
        <f t="shared" si="16"/>
        <v>0</v>
      </c>
      <c r="N99" s="85">
        <v>-4110</v>
      </c>
      <c r="O99" s="86">
        <f t="shared" si="16"/>
        <v>0</v>
      </c>
      <c r="P99" s="85">
        <v>-4110</v>
      </c>
      <c r="Q99" s="86">
        <f t="shared" si="17"/>
        <v>0</v>
      </c>
      <c r="R99" s="62">
        <f>_xlfn.XLOOKUP(B99,'Data (TB)'!$A$6:$A$554,'Data (TB)'!$E$6:$E$554,0)/'Data (TB)'!$C$2*12</f>
        <v>-70729.973333333328</v>
      </c>
      <c r="S99" s="100">
        <f>-SUMIFS(Chris!$G$5:$G$150,Chris!$A$5:$A$150,B99)</f>
        <v>-4110</v>
      </c>
      <c r="T99" s="87">
        <f t="shared" si="12"/>
        <v>-66619.973333333328</v>
      </c>
      <c r="U99" s="100">
        <f>-SUMIFS(Chris!$H$5:$H$150,Chris!$A$5:$A$150,B99)</f>
        <v>-4110</v>
      </c>
      <c r="V99" s="86">
        <f t="shared" si="13"/>
        <v>-66619.973333333328</v>
      </c>
      <c r="X99" s="1">
        <f>MATCH(B99,'Master Budget'!$G$4:$G$360,0)</f>
        <v>201</v>
      </c>
    </row>
    <row r="100" spans="1:24" x14ac:dyDescent="0.25">
      <c r="A100" s="1">
        <v>92</v>
      </c>
      <c r="B100" s="1" t="s">
        <v>596</v>
      </c>
      <c r="C100" s="1" t="s">
        <v>259</v>
      </c>
      <c r="D100" s="1">
        <f>_xlfn.XLOOKUP(B100,'Master Budget'!$G$4:$G$210,'Master Budget'!$D$4:$D$210,0)</f>
        <v>950</v>
      </c>
      <c r="E100" s="22">
        <v>-87846.42</v>
      </c>
      <c r="F100" s="84">
        <f>SUMIFS('Data (TB)'!$E$6:$E$524,'Data (TB)'!$A$6:$A$524,'Budget Worksheet'!B100)</f>
        <v>-6902.08</v>
      </c>
      <c r="G100" s="62">
        <f t="shared" si="18"/>
        <v>-11832.137142857144</v>
      </c>
      <c r="H100" s="85">
        <v>-80000</v>
      </c>
      <c r="I100" s="86">
        <f t="shared" si="14"/>
        <v>68167.862857142856</v>
      </c>
      <c r="J100" s="85">
        <v>-80000</v>
      </c>
      <c r="K100" s="87">
        <f t="shared" si="15"/>
        <v>0</v>
      </c>
      <c r="L100" s="85">
        <v>-80000</v>
      </c>
      <c r="M100" s="86">
        <f t="shared" si="16"/>
        <v>0</v>
      </c>
      <c r="N100" s="85">
        <v>-80000</v>
      </c>
      <c r="O100" s="86">
        <f t="shared" si="16"/>
        <v>0</v>
      </c>
      <c r="P100" s="85">
        <v>-80000</v>
      </c>
      <c r="Q100" s="86">
        <f t="shared" si="17"/>
        <v>0</v>
      </c>
      <c r="R100" s="62">
        <f>_xlfn.XLOOKUP(B100,'Data (TB)'!$A$6:$A$554,'Data (TB)'!$E$6:$E$554,0)/'Data (TB)'!$C$2*12</f>
        <v>-9202.7733333333326</v>
      </c>
      <c r="S100" s="100">
        <f>-SUMIFS(Chris!$G$5:$G$150,Chris!$A$5:$A$150,B100)</f>
        <v>-80000</v>
      </c>
      <c r="T100" s="87">
        <f t="shared" si="12"/>
        <v>70797.226666666669</v>
      </c>
      <c r="U100" s="100">
        <f>-SUMIFS(Chris!$H$5:$H$150,Chris!$A$5:$A$150,B100)</f>
        <v>-80000</v>
      </c>
      <c r="V100" s="86">
        <f t="shared" si="13"/>
        <v>70797.226666666669</v>
      </c>
      <c r="X100" s="1">
        <f>MATCH(B100,'Master Budget'!$G$4:$G$360,0)</f>
        <v>202</v>
      </c>
    </row>
    <row r="101" spans="1:24" x14ac:dyDescent="0.25">
      <c r="A101" s="1">
        <v>93</v>
      </c>
      <c r="B101" s="1" t="s">
        <v>597</v>
      </c>
      <c r="C101" s="1" t="s">
        <v>261</v>
      </c>
      <c r="D101" s="1">
        <f>_xlfn.XLOOKUP(B101,'Master Budget'!$G$4:$G$210,'Master Budget'!$D$4:$D$210,0)</f>
        <v>960</v>
      </c>
      <c r="E101" s="22">
        <v>-51870.46</v>
      </c>
      <c r="F101" s="84">
        <f>SUMIFS('Data (TB)'!$E$6:$E$524,'Data (TB)'!$A$6:$A$524,'Budget Worksheet'!B101)</f>
        <v>-26221.13</v>
      </c>
      <c r="G101" s="62">
        <f t="shared" si="18"/>
        <v>-44950.508571428574</v>
      </c>
      <c r="H101" s="85">
        <v>-100000</v>
      </c>
      <c r="I101" s="86">
        <f t="shared" si="14"/>
        <v>55049.491428571426</v>
      </c>
      <c r="J101" s="85">
        <v>-100000</v>
      </c>
      <c r="K101" s="87">
        <f t="shared" si="15"/>
        <v>0</v>
      </c>
      <c r="L101" s="85">
        <v>-100000</v>
      </c>
      <c r="M101" s="86">
        <f t="shared" si="16"/>
        <v>0</v>
      </c>
      <c r="N101" s="85">
        <v>-100000</v>
      </c>
      <c r="O101" s="86">
        <f t="shared" si="16"/>
        <v>0</v>
      </c>
      <c r="P101" s="85">
        <v>-100000</v>
      </c>
      <c r="Q101" s="86">
        <f t="shared" si="17"/>
        <v>0</v>
      </c>
      <c r="R101" s="62">
        <f>_xlfn.XLOOKUP(B101,'Data (TB)'!$A$6:$A$554,'Data (TB)'!$E$6:$E$554,0)/'Data (TB)'!$C$2*12</f>
        <v>-34961.506666666668</v>
      </c>
      <c r="S101" s="100">
        <f>-SUMIFS(Chris!$G$5:$G$150,Chris!$A$5:$A$150,B101)</f>
        <v>-100000</v>
      </c>
      <c r="T101" s="87">
        <f t="shared" si="12"/>
        <v>65038.493333333332</v>
      </c>
      <c r="U101" s="100">
        <f>-SUMIFS(Chris!$H$5:$H$150,Chris!$A$5:$A$150,B101)</f>
        <v>-100000</v>
      </c>
      <c r="V101" s="86">
        <f t="shared" si="13"/>
        <v>65038.493333333332</v>
      </c>
      <c r="X101" s="1">
        <f>MATCH(B101,'Master Budget'!$G$4:$G$360,0)</f>
        <v>203</v>
      </c>
    </row>
    <row r="102" spans="1:24" x14ac:dyDescent="0.25">
      <c r="A102" s="1">
        <v>95</v>
      </c>
      <c r="B102" s="1" t="s">
        <v>599</v>
      </c>
      <c r="C102" s="1" t="s">
        <v>600</v>
      </c>
      <c r="D102" s="1">
        <f>_xlfn.XLOOKUP(B102,'Master Budget'!$G$4:$G$210,'Master Budget'!$D$4:$D$210,0)</f>
        <v>960</v>
      </c>
      <c r="E102" s="22">
        <v>-4.1500000000000004</v>
      </c>
      <c r="F102" s="84">
        <f>SUMIFS('Data (TB)'!$E$6:$E$524,'Data (TB)'!$A$6:$A$524,'Budget Worksheet'!B102)</f>
        <v>0</v>
      </c>
      <c r="G102" s="62">
        <f t="shared" si="18"/>
        <v>0</v>
      </c>
      <c r="H102" s="85">
        <v>0</v>
      </c>
      <c r="I102" s="86">
        <f t="shared" si="14"/>
        <v>0</v>
      </c>
      <c r="J102" s="85">
        <v>0</v>
      </c>
      <c r="K102" s="87">
        <f t="shared" si="15"/>
        <v>0</v>
      </c>
      <c r="L102" s="85">
        <v>0</v>
      </c>
      <c r="M102" s="86">
        <f t="shared" si="16"/>
        <v>0</v>
      </c>
      <c r="N102" s="85">
        <v>0</v>
      </c>
      <c r="O102" s="86">
        <f t="shared" si="16"/>
        <v>0</v>
      </c>
      <c r="P102" s="85">
        <v>0</v>
      </c>
      <c r="Q102" s="86">
        <f t="shared" si="17"/>
        <v>0</v>
      </c>
      <c r="R102" s="62">
        <f>_xlfn.XLOOKUP(B102,'Data (TB)'!$A$6:$A$554,'Data (TB)'!$E$6:$E$554,0)/'Data (TB)'!$C$2*12</f>
        <v>0</v>
      </c>
      <c r="S102" s="100">
        <f>-SUMIFS(Chris!$G$5:$G$150,Chris!$A$5:$A$150,B102)</f>
        <v>0</v>
      </c>
      <c r="T102" s="87">
        <f t="shared" si="12"/>
        <v>0</v>
      </c>
      <c r="U102" s="100">
        <f>-SUMIFS(Chris!$H$5:$H$150,Chris!$A$5:$A$150,B102)</f>
        <v>0</v>
      </c>
      <c r="V102" s="86">
        <f t="shared" si="13"/>
        <v>0</v>
      </c>
      <c r="X102" s="1">
        <f>MATCH(B102,'Master Budget'!$G$4:$G$360,0)</f>
        <v>205</v>
      </c>
    </row>
    <row r="103" spans="1:24" x14ac:dyDescent="0.25">
      <c r="A103" s="1">
        <v>96</v>
      </c>
      <c r="B103" s="1" t="s">
        <v>601</v>
      </c>
      <c r="C103" s="1" t="s">
        <v>106</v>
      </c>
      <c r="D103" s="1">
        <f>_xlfn.XLOOKUP(B103,'Master Budget'!$G$4:$G$210,'Master Budget'!$D$4:$D$210,0)</f>
        <v>0</v>
      </c>
      <c r="E103" s="22">
        <v>0</v>
      </c>
      <c r="F103" s="84">
        <f>SUMIFS('Data (TB)'!$E$6:$E$524,'Data (TB)'!$A$6:$A$524,'Budget Worksheet'!B103)</f>
        <v>0</v>
      </c>
      <c r="G103" s="62">
        <f t="shared" si="18"/>
        <v>0</v>
      </c>
      <c r="H103" s="85">
        <v>0</v>
      </c>
      <c r="I103" s="86">
        <f t="shared" si="14"/>
        <v>0</v>
      </c>
      <c r="J103" s="85">
        <v>0</v>
      </c>
      <c r="K103" s="87">
        <f t="shared" si="15"/>
        <v>0</v>
      </c>
      <c r="L103" s="85">
        <v>0</v>
      </c>
      <c r="M103" s="86">
        <f t="shared" si="16"/>
        <v>0</v>
      </c>
      <c r="N103" s="85">
        <v>0</v>
      </c>
      <c r="O103" s="86">
        <f t="shared" si="16"/>
        <v>0</v>
      </c>
      <c r="P103" s="85">
        <v>0</v>
      </c>
      <c r="Q103" s="86">
        <f t="shared" si="17"/>
        <v>0</v>
      </c>
      <c r="R103" s="62">
        <f>_xlfn.XLOOKUP(B103,'Data (TB)'!$A$6:$A$554,'Data (TB)'!$E$6:$E$554,0)/'Data (TB)'!$C$2*12</f>
        <v>0</v>
      </c>
      <c r="S103" s="100">
        <f>-SUMIFS(Chris!$G$5:$G$150,Chris!$A$5:$A$150,B103)</f>
        <v>0</v>
      </c>
      <c r="T103" s="87">
        <f t="shared" si="12"/>
        <v>0</v>
      </c>
      <c r="U103" s="100">
        <f>-SUMIFS(Chris!$H$5:$H$150,Chris!$A$5:$A$150,B103)</f>
        <v>0</v>
      </c>
      <c r="V103" s="86">
        <f t="shared" si="13"/>
        <v>0</v>
      </c>
      <c r="X103" s="1" t="e">
        <f>MATCH(B103,'Master Budget'!$G$4:$G$360,0)</f>
        <v>#N/A</v>
      </c>
    </row>
    <row r="104" spans="1:24" x14ac:dyDescent="0.25">
      <c r="A104" s="1">
        <v>97</v>
      </c>
      <c r="B104" s="1" t="s">
        <v>602</v>
      </c>
      <c r="C104" s="1" t="s">
        <v>603</v>
      </c>
      <c r="D104" s="1">
        <f>_xlfn.XLOOKUP(B104,'Master Budget'!$G$4:$G$210,'Master Budget'!$D$4:$D$210,0)</f>
        <v>0</v>
      </c>
      <c r="E104" s="22">
        <v>0</v>
      </c>
      <c r="F104" s="84">
        <f>SUMIFS('Data (TB)'!$E$6:$E$524,'Data (TB)'!$A$6:$A$524,'Budget Worksheet'!B104)</f>
        <v>0</v>
      </c>
      <c r="G104" s="62">
        <f t="shared" si="18"/>
        <v>0</v>
      </c>
      <c r="H104" s="85">
        <v>0</v>
      </c>
      <c r="I104" s="86">
        <f t="shared" si="14"/>
        <v>0</v>
      </c>
      <c r="J104" s="85">
        <v>0</v>
      </c>
      <c r="K104" s="87">
        <f t="shared" si="15"/>
        <v>0</v>
      </c>
      <c r="L104" s="85">
        <v>0</v>
      </c>
      <c r="M104" s="86">
        <f t="shared" si="16"/>
        <v>0</v>
      </c>
      <c r="N104" s="85">
        <v>0</v>
      </c>
      <c r="O104" s="86">
        <f t="shared" si="16"/>
        <v>0</v>
      </c>
      <c r="P104" s="85">
        <v>0</v>
      </c>
      <c r="Q104" s="86">
        <f t="shared" si="17"/>
        <v>0</v>
      </c>
      <c r="R104" s="62">
        <f>_xlfn.XLOOKUP(B104,'Data (TB)'!$A$6:$A$554,'Data (TB)'!$E$6:$E$554,0)/'Data (TB)'!$C$2*12</f>
        <v>0</v>
      </c>
      <c r="S104" s="100">
        <f>-SUMIFS(Chris!$G$5:$G$150,Chris!$A$5:$A$150,B104)</f>
        <v>0</v>
      </c>
      <c r="T104" s="87">
        <f t="shared" si="12"/>
        <v>0</v>
      </c>
      <c r="U104" s="100">
        <f>-SUMIFS(Chris!$H$5:$H$150,Chris!$A$5:$A$150,B104)</f>
        <v>0</v>
      </c>
      <c r="V104" s="86">
        <f t="shared" si="13"/>
        <v>0</v>
      </c>
      <c r="X104" s="1" t="e">
        <f>MATCH(B104,'Master Budget'!$G$4:$G$360,0)</f>
        <v>#N/A</v>
      </c>
    </row>
    <row r="105" spans="1:24" x14ac:dyDescent="0.25">
      <c r="A105" s="1">
        <v>98</v>
      </c>
      <c r="B105" s="1" t="s">
        <v>604</v>
      </c>
      <c r="C105" s="1" t="s">
        <v>110</v>
      </c>
      <c r="D105" s="1">
        <f>_xlfn.XLOOKUP(B105,'Master Budget'!$G$4:$G$210,'Master Budget'!$D$4:$D$210,0)</f>
        <v>0</v>
      </c>
      <c r="E105" s="22">
        <v>0</v>
      </c>
      <c r="F105" s="84">
        <f>SUMIFS('Data (TB)'!$E$6:$E$524,'Data (TB)'!$A$6:$A$524,'Budget Worksheet'!B105)</f>
        <v>0</v>
      </c>
      <c r="G105" s="62">
        <f t="shared" si="18"/>
        <v>0</v>
      </c>
      <c r="H105" s="85">
        <v>0</v>
      </c>
      <c r="I105" s="86">
        <f t="shared" si="14"/>
        <v>0</v>
      </c>
      <c r="J105" s="85">
        <v>0</v>
      </c>
      <c r="K105" s="87">
        <f t="shared" si="15"/>
        <v>0</v>
      </c>
      <c r="L105" s="85">
        <v>0</v>
      </c>
      <c r="M105" s="86">
        <f t="shared" si="16"/>
        <v>0</v>
      </c>
      <c r="N105" s="85">
        <v>0</v>
      </c>
      <c r="O105" s="86">
        <f t="shared" si="16"/>
        <v>0</v>
      </c>
      <c r="P105" s="85">
        <v>0</v>
      </c>
      <c r="Q105" s="86">
        <f t="shared" si="17"/>
        <v>0</v>
      </c>
      <c r="R105" s="62">
        <f>_xlfn.XLOOKUP(B105,'Data (TB)'!$A$6:$A$554,'Data (TB)'!$E$6:$E$554,0)/'Data (TB)'!$C$2*12</f>
        <v>0</v>
      </c>
      <c r="S105" s="100">
        <f>-SUMIFS(Chris!$G$5:$G$150,Chris!$A$5:$A$150,B105)</f>
        <v>0</v>
      </c>
      <c r="T105" s="87">
        <f t="shared" si="12"/>
        <v>0</v>
      </c>
      <c r="U105" s="100">
        <f>-SUMIFS(Chris!$H$5:$H$150,Chris!$A$5:$A$150,B105)</f>
        <v>0</v>
      </c>
      <c r="V105" s="86">
        <f t="shared" si="13"/>
        <v>0</v>
      </c>
      <c r="X105" s="1" t="e">
        <f>MATCH(B105,'Master Budget'!$G$4:$G$360,0)</f>
        <v>#N/A</v>
      </c>
    </row>
    <row r="106" spans="1:24" x14ac:dyDescent="0.25">
      <c r="A106" s="1">
        <v>99</v>
      </c>
      <c r="B106" s="1" t="s">
        <v>605</v>
      </c>
      <c r="C106" s="1" t="s">
        <v>112</v>
      </c>
      <c r="D106" s="1">
        <f>_xlfn.XLOOKUP(B106,'Master Budget'!$G$4:$G$210,'Master Budget'!$D$4:$D$210,0)</f>
        <v>0</v>
      </c>
      <c r="E106" s="22">
        <v>0</v>
      </c>
      <c r="F106" s="84">
        <f>SUMIFS('Data (TB)'!$E$6:$E$524,'Data (TB)'!$A$6:$A$524,'Budget Worksheet'!B106)</f>
        <v>0</v>
      </c>
      <c r="G106" s="62">
        <f t="shared" si="18"/>
        <v>0</v>
      </c>
      <c r="H106" s="85">
        <v>0</v>
      </c>
      <c r="I106" s="86">
        <f t="shared" si="14"/>
        <v>0</v>
      </c>
      <c r="J106" s="85">
        <v>0</v>
      </c>
      <c r="K106" s="87">
        <f t="shared" si="15"/>
        <v>0</v>
      </c>
      <c r="L106" s="85">
        <v>0</v>
      </c>
      <c r="M106" s="86">
        <f t="shared" si="16"/>
        <v>0</v>
      </c>
      <c r="N106" s="85">
        <v>0</v>
      </c>
      <c r="O106" s="86">
        <f t="shared" si="16"/>
        <v>0</v>
      </c>
      <c r="P106" s="85">
        <v>0</v>
      </c>
      <c r="Q106" s="86">
        <f t="shared" si="17"/>
        <v>0</v>
      </c>
      <c r="R106" s="62">
        <f>_xlfn.XLOOKUP(B106,'Data (TB)'!$A$6:$A$554,'Data (TB)'!$E$6:$E$554,0)/'Data (TB)'!$C$2*12</f>
        <v>0</v>
      </c>
      <c r="S106" s="100">
        <f>-SUMIFS(Chris!$G$5:$G$150,Chris!$A$5:$A$150,B106)</f>
        <v>0</v>
      </c>
      <c r="T106" s="87">
        <f t="shared" si="12"/>
        <v>0</v>
      </c>
      <c r="U106" s="100">
        <f>-SUMIFS(Chris!$H$5:$H$150,Chris!$A$5:$A$150,B106)</f>
        <v>0</v>
      </c>
      <c r="V106" s="86">
        <f t="shared" si="13"/>
        <v>0</v>
      </c>
      <c r="X106" s="1" t="e">
        <f>MATCH(B106,'Master Budget'!$G$4:$G$360,0)</f>
        <v>#N/A</v>
      </c>
    </row>
    <row r="107" spans="1:24" x14ac:dyDescent="0.25">
      <c r="A107" s="1">
        <v>100</v>
      </c>
      <c r="B107" s="1" t="s">
        <v>606</v>
      </c>
      <c r="C107" s="1" t="s">
        <v>114</v>
      </c>
      <c r="D107" s="1">
        <f>_xlfn.XLOOKUP(B107,'Master Budget'!$G$4:$G$210,'Master Budget'!$D$4:$D$210,0)</f>
        <v>0</v>
      </c>
      <c r="E107" s="22">
        <v>0</v>
      </c>
      <c r="F107" s="84">
        <f>SUMIFS('Data (TB)'!$E$6:$E$524,'Data (TB)'!$A$6:$A$524,'Budget Worksheet'!B107)</f>
        <v>0</v>
      </c>
      <c r="G107" s="62">
        <f t="shared" si="18"/>
        <v>0</v>
      </c>
      <c r="H107" s="85">
        <v>0</v>
      </c>
      <c r="I107" s="86">
        <f t="shared" si="14"/>
        <v>0</v>
      </c>
      <c r="J107" s="85">
        <v>0</v>
      </c>
      <c r="K107" s="87">
        <f t="shared" si="15"/>
        <v>0</v>
      </c>
      <c r="L107" s="85">
        <v>0</v>
      </c>
      <c r="M107" s="86">
        <f t="shared" si="16"/>
        <v>0</v>
      </c>
      <c r="N107" s="85">
        <v>0</v>
      </c>
      <c r="O107" s="86">
        <f t="shared" si="16"/>
        <v>0</v>
      </c>
      <c r="P107" s="85">
        <v>0</v>
      </c>
      <c r="Q107" s="86">
        <f t="shared" si="17"/>
        <v>0</v>
      </c>
      <c r="R107" s="62">
        <f>_xlfn.XLOOKUP(B107,'Data (TB)'!$A$6:$A$554,'Data (TB)'!$E$6:$E$554,0)/'Data (TB)'!$C$2*12</f>
        <v>0</v>
      </c>
      <c r="S107" s="100">
        <f>-SUMIFS(Chris!$G$5:$G$150,Chris!$A$5:$A$150,B107)</f>
        <v>0</v>
      </c>
      <c r="T107" s="87">
        <f t="shared" si="12"/>
        <v>0</v>
      </c>
      <c r="U107" s="100">
        <f>-SUMIFS(Chris!$H$5:$H$150,Chris!$A$5:$A$150,B107)</f>
        <v>0</v>
      </c>
      <c r="V107" s="86">
        <f t="shared" si="13"/>
        <v>0</v>
      </c>
      <c r="X107" s="1" t="e">
        <f>MATCH(B107,'Master Budget'!$G$4:$G$360,0)</f>
        <v>#N/A</v>
      </c>
    </row>
    <row r="108" spans="1:24" x14ac:dyDescent="0.25">
      <c r="A108" s="78">
        <v>101</v>
      </c>
      <c r="B108" s="78" t="s">
        <v>607</v>
      </c>
      <c r="C108" s="78" t="s">
        <v>101</v>
      </c>
      <c r="D108" s="78">
        <f>_xlfn.XLOOKUP(B108,'Master Budget'!$G$4:$G$210,'Master Budget'!$D$4:$D$210,0)</f>
        <v>100</v>
      </c>
      <c r="E108" s="134">
        <v>105174.84</v>
      </c>
      <c r="F108" s="135">
        <f>SUMIFS('Data (TB)'!$E$6:$E$524,'Data (TB)'!$A$6:$A$524,'Budget Worksheet'!B108)</f>
        <v>151760.79999999999</v>
      </c>
      <c r="G108" s="79">
        <f t="shared" si="18"/>
        <v>260161.37142857141</v>
      </c>
      <c r="H108" s="136">
        <v>240279.90104166666</v>
      </c>
      <c r="I108" s="137">
        <f t="shared" si="14"/>
        <v>19881.470386904752</v>
      </c>
      <c r="J108" s="136">
        <v>240280</v>
      </c>
      <c r="K108" s="138">
        <f t="shared" si="15"/>
        <v>0</v>
      </c>
      <c r="L108" s="136">
        <v>221918.51250000001</v>
      </c>
      <c r="M108" s="138">
        <f t="shared" si="16"/>
        <v>18361.487499999988</v>
      </c>
      <c r="N108" s="136">
        <v>221918.51250000001</v>
      </c>
      <c r="O108" s="138">
        <f t="shared" si="16"/>
        <v>0</v>
      </c>
      <c r="P108" s="136">
        <v>259590.18340500002</v>
      </c>
      <c r="Q108" s="138">
        <f t="shared" si="17"/>
        <v>-37671.670905000006</v>
      </c>
      <c r="R108" s="62">
        <f>_xlfn.XLOOKUP(B108,'Data (TB)'!$A$6:$A$554,'Data (TB)'!$E$6:$E$554,0)/'Data (TB)'!$C$2*12</f>
        <v>202347.73333333334</v>
      </c>
      <c r="S108" s="79">
        <f>SUMIFS(Chris!$G$5:$G$150,Chris!$A$5:$A$150,B108)</f>
        <v>258650.34899999999</v>
      </c>
      <c r="T108" s="87">
        <f t="shared" si="12"/>
        <v>56302.61566666665</v>
      </c>
      <c r="U108" s="79">
        <f>SUMIFS(Chris!$H$5:$H$150,Chris!$A$5:$A$150,B108)</f>
        <v>210153.56189999994</v>
      </c>
      <c r="V108" s="138">
        <f t="shared" si="13"/>
        <v>-7805.8285666666052</v>
      </c>
      <c r="X108" s="1">
        <f>MATCH(B108,'Master Budget'!$G$4:$G$360,0)</f>
        <v>206</v>
      </c>
    </row>
    <row r="109" spans="1:24" x14ac:dyDescent="0.25">
      <c r="A109" s="1">
        <v>102</v>
      </c>
      <c r="B109" s="1" t="s">
        <v>608</v>
      </c>
      <c r="C109" s="1" t="s">
        <v>104</v>
      </c>
      <c r="D109" s="1">
        <f>_xlfn.XLOOKUP(B109,'Master Budget'!$G$4:$G$210,'Master Budget'!$D$4:$D$210,0)</f>
        <v>100</v>
      </c>
      <c r="E109" s="22">
        <v>9881.9699999999993</v>
      </c>
      <c r="F109" s="84">
        <f>SUMIFS('Data (TB)'!$E$6:$E$524,'Data (TB)'!$A$6:$A$524,'Budget Worksheet'!B109)</f>
        <v>12536.9</v>
      </c>
      <c r="G109" s="62">
        <f t="shared" si="18"/>
        <v>21491.82857142857</v>
      </c>
      <c r="H109" s="85">
        <v>18381.412429687494</v>
      </c>
      <c r="I109" s="101">
        <f t="shared" si="14"/>
        <v>3110.416141741076</v>
      </c>
      <c r="J109" s="85">
        <v>18381</v>
      </c>
      <c r="K109" s="87">
        <f t="shared" si="15"/>
        <v>0</v>
      </c>
      <c r="L109" s="85">
        <v>16976.766206250002</v>
      </c>
      <c r="M109" s="86">
        <f t="shared" si="16"/>
        <v>1404.2337937499979</v>
      </c>
      <c r="N109" s="85">
        <v>16976.766206250002</v>
      </c>
      <c r="O109" s="86">
        <f t="shared" si="16"/>
        <v>0</v>
      </c>
      <c r="P109" s="85">
        <v>19858.649030482498</v>
      </c>
      <c r="Q109" s="86">
        <f t="shared" si="17"/>
        <v>-2881.8828242324962</v>
      </c>
      <c r="R109" s="62">
        <f>_xlfn.XLOOKUP(B109,'Data (TB)'!$A$6:$A$554,'Data (TB)'!$E$6:$E$554,0)/'Data (TB)'!$C$2*12</f>
        <v>16715.866666666665</v>
      </c>
      <c r="S109" s="100">
        <f>SUMIFS(Chris!$G$5:$G$150,Chris!$A$5:$A$150,B109)</f>
        <v>19786.7516985</v>
      </c>
      <c r="T109" s="87">
        <f t="shared" si="12"/>
        <v>3070.8850318333352</v>
      </c>
      <c r="U109" s="100">
        <f>SUMIFS(Chris!$H$5:$H$150,Chris!$A$5:$A$150,B109)</f>
        <v>16076.747485349995</v>
      </c>
      <c r="V109" s="86">
        <f t="shared" si="13"/>
        <v>639.11918131666971</v>
      </c>
      <c r="X109" s="1">
        <f>MATCH(B109,'Master Budget'!$G$4:$G$360,0)</f>
        <v>207</v>
      </c>
    </row>
    <row r="110" spans="1:24" x14ac:dyDescent="0.25">
      <c r="A110" s="1">
        <v>103</v>
      </c>
      <c r="B110" s="1" t="s">
        <v>609</v>
      </c>
      <c r="C110" s="1" t="s">
        <v>106</v>
      </c>
      <c r="D110" s="1">
        <f>_xlfn.XLOOKUP(B110,'Master Budget'!$G$4:$G$210,'Master Budget'!$D$4:$D$210,0)</f>
        <v>0</v>
      </c>
      <c r="E110" s="95">
        <v>1412.85</v>
      </c>
      <c r="F110" s="96">
        <f>SUMIFS('Data (TB)'!$E$6:$E$524,'Data (TB)'!$A$6:$A$524,'Budget Worksheet'!B110)</f>
        <v>28084.22</v>
      </c>
      <c r="G110" s="97">
        <f t="shared" si="18"/>
        <v>48144.377142857149</v>
      </c>
      <c r="H110" s="98">
        <v>44740.661108333334</v>
      </c>
      <c r="I110" s="101">
        <f t="shared" si="14"/>
        <v>3403.7160345238153</v>
      </c>
      <c r="J110" s="98">
        <v>44741</v>
      </c>
      <c r="K110" s="99">
        <f t="shared" si="15"/>
        <v>0</v>
      </c>
      <c r="L110" s="98">
        <v>31944.720000000001</v>
      </c>
      <c r="M110" s="86">
        <f t="shared" si="16"/>
        <v>12796.279999999999</v>
      </c>
      <c r="N110" s="98">
        <v>31944.720000000001</v>
      </c>
      <c r="O110" s="86">
        <f t="shared" si="16"/>
        <v>0</v>
      </c>
      <c r="P110" s="98">
        <v>39004.434000000008</v>
      </c>
      <c r="Q110" s="86">
        <f t="shared" si="17"/>
        <v>-7059.7140000000072</v>
      </c>
      <c r="R110" s="62">
        <f>_xlfn.XLOOKUP(B110,'Data (TB)'!$A$6:$A$554,'Data (TB)'!$E$6:$E$554,0)/'Data (TB)'!$C$2*12</f>
        <v>37445.626666666671</v>
      </c>
      <c r="S110" s="100">
        <f>SUMIFS(Chris!$G$5:$G$150,Chris!$A$5:$A$150,B110)</f>
        <v>38885.520000000004</v>
      </c>
      <c r="T110" s="87">
        <f t="shared" si="12"/>
        <v>1439.8933333333334</v>
      </c>
      <c r="U110" s="100">
        <f>SUMIFS(Chris!$H$5:$H$150,Chris!$A$5:$A$150,B110)</f>
        <v>30695.847519999999</v>
      </c>
      <c r="V110" s="86">
        <f t="shared" si="13"/>
        <v>6749.7791466666713</v>
      </c>
      <c r="X110" s="1">
        <f>MATCH(B110,'Master Budget'!$G$4:$G$360,0)</f>
        <v>208</v>
      </c>
    </row>
    <row r="111" spans="1:24" x14ac:dyDescent="0.25">
      <c r="A111" s="1">
        <v>104</v>
      </c>
      <c r="B111" s="1" t="s">
        <v>610</v>
      </c>
      <c r="C111" s="1" t="s">
        <v>108</v>
      </c>
      <c r="D111" s="1">
        <f>_xlfn.XLOOKUP(B111,'Master Budget'!$G$4:$G$210,'Master Budget'!$D$4:$D$210,0)</f>
        <v>0</v>
      </c>
      <c r="E111" s="22">
        <v>26033.91</v>
      </c>
      <c r="F111" s="84">
        <f>SUMIFS('Data (TB)'!$E$6:$E$524,'Data (TB)'!$A$6:$A$524,'Budget Worksheet'!B111)</f>
        <v>30727.05</v>
      </c>
      <c r="G111" s="62">
        <f t="shared" si="18"/>
        <v>52674.942857142858</v>
      </c>
      <c r="H111" s="85">
        <v>43334.661416597228</v>
      </c>
      <c r="I111" s="101">
        <f t="shared" si="14"/>
        <v>9340.2814405456302</v>
      </c>
      <c r="J111" s="85">
        <v>43335</v>
      </c>
      <c r="K111" s="87">
        <f t="shared" si="15"/>
        <v>0</v>
      </c>
      <c r="L111" s="85">
        <v>50232.110999999997</v>
      </c>
      <c r="M111" s="86">
        <f t="shared" si="16"/>
        <v>-6897.1109999999971</v>
      </c>
      <c r="N111" s="85">
        <v>50232.110999999997</v>
      </c>
      <c r="O111" s="86">
        <f t="shared" si="16"/>
        <v>0</v>
      </c>
      <c r="P111" s="85">
        <v>53007.742125000004</v>
      </c>
      <c r="Q111" s="86">
        <f t="shared" ref="Q111:Q143" si="19">L111-P111</f>
        <v>-2775.6311250000072</v>
      </c>
      <c r="R111" s="62">
        <f>_xlfn.XLOOKUP(B111,'Data (TB)'!$A$6:$A$554,'Data (TB)'!$E$6:$E$554,0)/'Data (TB)'!$C$2*12</f>
        <v>40969.4</v>
      </c>
      <c r="S111" s="100">
        <f>SUMIFS(Chris!$G$5:$G$150,Chris!$A$5:$A$150,B111)</f>
        <v>53023.255799999999</v>
      </c>
      <c r="T111" s="87">
        <f t="shared" si="12"/>
        <v>12053.855799999998</v>
      </c>
      <c r="U111" s="100">
        <f>SUMIFS(Chris!$H$5:$H$150,Chris!$A$5:$A$150,B111)</f>
        <v>114383.75237599999</v>
      </c>
      <c r="V111" s="86">
        <f t="shared" si="13"/>
        <v>-73414.352375999995</v>
      </c>
      <c r="X111" s="1">
        <f>MATCH(B111,'Master Budget'!$G$4:$G$360,0)</f>
        <v>209</v>
      </c>
    </row>
    <row r="112" spans="1:24" x14ac:dyDescent="0.25">
      <c r="A112" s="1">
        <v>105</v>
      </c>
      <c r="B112" s="1" t="s">
        <v>611</v>
      </c>
      <c r="C112" s="1" t="s">
        <v>110</v>
      </c>
      <c r="D112" s="1">
        <f>_xlfn.XLOOKUP(B112,'Master Budget'!$G$4:$G$210,'Master Budget'!$D$4:$D$210,0)</f>
        <v>0</v>
      </c>
      <c r="E112" s="22">
        <v>5077.38</v>
      </c>
      <c r="F112" s="84">
        <f>SUMIFS('Data (TB)'!$E$6:$E$524,'Data (TB)'!$A$6:$A$524,'Budget Worksheet'!B112)</f>
        <v>950.85</v>
      </c>
      <c r="G112" s="62">
        <f t="shared" si="18"/>
        <v>1630.0285714285715</v>
      </c>
      <c r="H112" s="85">
        <v>6099.0569357458326</v>
      </c>
      <c r="I112" s="101">
        <f t="shared" si="14"/>
        <v>-4469.0283643172606</v>
      </c>
      <c r="J112" s="85">
        <v>6099</v>
      </c>
      <c r="K112" s="87">
        <f t="shared" si="15"/>
        <v>0</v>
      </c>
      <c r="L112" s="85">
        <v>4262.7552000000005</v>
      </c>
      <c r="M112" s="86">
        <f t="shared" si="16"/>
        <v>1836.2447999999995</v>
      </c>
      <c r="N112" s="85">
        <v>4262.7552000000005</v>
      </c>
      <c r="O112" s="86">
        <f t="shared" si="16"/>
        <v>0</v>
      </c>
      <c r="P112" s="85">
        <v>5007.4078656000002</v>
      </c>
      <c r="Q112" s="86">
        <f t="shared" si="19"/>
        <v>-744.65266559999964</v>
      </c>
      <c r="R112" s="62">
        <f>_xlfn.XLOOKUP(B112,'Data (TB)'!$A$6:$A$554,'Data (TB)'!$E$6:$E$554,0)/'Data (TB)'!$C$2*12</f>
        <v>1267.8000000000002</v>
      </c>
      <c r="S112" s="100">
        <f>SUMIFS(Chris!$G$5:$G$150,Chris!$A$5:$A$150,B112)</f>
        <v>4985.4406399999998</v>
      </c>
      <c r="T112" s="87">
        <f t="shared" si="12"/>
        <v>3717.6406399999996</v>
      </c>
      <c r="U112" s="100">
        <f>SUMIFS(Chris!$H$5:$H$150,Chris!$A$5:$A$150,B112)</f>
        <v>4006.0952379999999</v>
      </c>
      <c r="V112" s="86">
        <f t="shared" si="13"/>
        <v>-2738.2952379999997</v>
      </c>
      <c r="X112" s="1">
        <f>MATCH(B112,'Master Budget'!$G$4:$G$360,0)</f>
        <v>210</v>
      </c>
    </row>
    <row r="113" spans="1:27" x14ac:dyDescent="0.25">
      <c r="A113" s="1">
        <v>106</v>
      </c>
      <c r="B113" s="1" t="s">
        <v>612</v>
      </c>
      <c r="C113" s="1" t="s">
        <v>112</v>
      </c>
      <c r="D113" s="1">
        <f>_xlfn.XLOOKUP(B113,'Master Budget'!$G$4:$G$210,'Master Budget'!$D$4:$D$210,0)</f>
        <v>0</v>
      </c>
      <c r="E113" s="22">
        <v>20414.12</v>
      </c>
      <c r="F113" s="84">
        <f>SUMIFS('Data (TB)'!$E$6:$E$524,'Data (TB)'!$A$6:$A$524,'Budget Worksheet'!B113)</f>
        <v>12460.06</v>
      </c>
      <c r="G113" s="62">
        <f t="shared" si="18"/>
        <v>21360.102857142854</v>
      </c>
      <c r="H113" s="85">
        <v>0</v>
      </c>
      <c r="I113" s="101">
        <f t="shared" si="14"/>
        <v>21360.102857142854</v>
      </c>
      <c r="J113" s="85">
        <v>10000</v>
      </c>
      <c r="K113" s="87">
        <f t="shared" si="15"/>
        <v>-10000</v>
      </c>
      <c r="L113" s="85">
        <v>0</v>
      </c>
      <c r="M113" s="86">
        <f t="shared" si="16"/>
        <v>10000</v>
      </c>
      <c r="N113" s="85">
        <v>10000</v>
      </c>
      <c r="O113" s="86">
        <f t="shared" si="16"/>
        <v>-10000</v>
      </c>
      <c r="P113" s="85">
        <v>0</v>
      </c>
      <c r="Q113" s="86">
        <f t="shared" si="19"/>
        <v>0</v>
      </c>
      <c r="R113" s="62">
        <f>_xlfn.XLOOKUP(B113,'Data (TB)'!$A$6:$A$554,'Data (TB)'!$E$6:$E$554,0)/'Data (TB)'!$C$2*12</f>
        <v>16613.41333333333</v>
      </c>
      <c r="S113" s="100">
        <f>SUMIFS(Chris!$G$5:$G$150,Chris!$A$5:$A$150,B113)</f>
        <v>0</v>
      </c>
      <c r="T113" s="87">
        <f t="shared" si="12"/>
        <v>-16613.41333333333</v>
      </c>
      <c r="U113" s="100">
        <f>SUMIFS(Chris!$H$5:$H$150,Chris!$A$5:$A$150,B113)</f>
        <v>0</v>
      </c>
      <c r="V113" s="86">
        <f t="shared" si="13"/>
        <v>16613.41333333333</v>
      </c>
      <c r="X113" s="1">
        <f>MATCH(B113,'Master Budget'!$G$4:$G$360,0)</f>
        <v>211</v>
      </c>
    </row>
    <row r="114" spans="1:27" x14ac:dyDescent="0.25">
      <c r="A114" s="1">
        <v>107</v>
      </c>
      <c r="B114" s="1" t="s">
        <v>613</v>
      </c>
      <c r="C114" s="1" t="s">
        <v>114</v>
      </c>
      <c r="D114" s="1">
        <f>_xlfn.XLOOKUP(B114,'Master Budget'!$G$4:$G$210,'Master Budget'!$D$4:$D$210,0)</f>
        <v>0</v>
      </c>
      <c r="E114" s="22">
        <v>22.36</v>
      </c>
      <c r="F114" s="84">
        <f>SUMIFS('Data (TB)'!$E$6:$E$524,'Data (TB)'!$A$6:$A$524,'Budget Worksheet'!B114)</f>
        <v>1.33</v>
      </c>
      <c r="G114" s="62">
        <f t="shared" si="18"/>
        <v>2.2800000000000002</v>
      </c>
      <c r="H114" s="85">
        <v>297</v>
      </c>
      <c r="I114" s="101">
        <f t="shared" si="14"/>
        <v>-294.72000000000003</v>
      </c>
      <c r="J114" s="85">
        <v>297</v>
      </c>
      <c r="K114" s="87">
        <f t="shared" si="15"/>
        <v>0</v>
      </c>
      <c r="L114" s="85">
        <v>108</v>
      </c>
      <c r="M114" s="86">
        <f t="shared" si="16"/>
        <v>189</v>
      </c>
      <c r="N114" s="85">
        <v>108</v>
      </c>
      <c r="O114" s="86">
        <f t="shared" si="16"/>
        <v>0</v>
      </c>
      <c r="P114" s="85">
        <v>115.20000000000002</v>
      </c>
      <c r="Q114" s="86">
        <f t="shared" si="19"/>
        <v>-7.2000000000000171</v>
      </c>
      <c r="R114" s="62">
        <f>_xlfn.XLOOKUP(B114,'Data (TB)'!$A$6:$A$554,'Data (TB)'!$E$6:$E$554,0)/'Data (TB)'!$C$2*12</f>
        <v>1.7733333333333334</v>
      </c>
      <c r="S114" s="100">
        <f>SUMIFS(Chris!$G$5:$G$150,Chris!$A$5:$A$150,B114)</f>
        <v>115.20000000000002</v>
      </c>
      <c r="T114" s="87">
        <f t="shared" si="12"/>
        <v>113.42666666666668</v>
      </c>
      <c r="U114" s="100">
        <f>SUMIFS(Chris!$H$5:$H$150,Chris!$A$5:$A$150,B114)</f>
        <v>172.80000000000004</v>
      </c>
      <c r="V114" s="86">
        <f t="shared" si="13"/>
        <v>-171.0266666666667</v>
      </c>
      <c r="X114" s="1">
        <f>MATCH(B114,'Master Budget'!$G$4:$G$360,0)</f>
        <v>212</v>
      </c>
    </row>
    <row r="115" spans="1:27" x14ac:dyDescent="0.25">
      <c r="A115" s="1">
        <v>108</v>
      </c>
      <c r="B115" s="1" t="s">
        <v>614</v>
      </c>
      <c r="C115" s="1" t="s">
        <v>276</v>
      </c>
      <c r="D115" s="1">
        <f>_xlfn.XLOOKUP(B115,'Master Budget'!$G$4:$G$210,'Master Budget'!$D$4:$D$210,0)</f>
        <v>0</v>
      </c>
      <c r="E115" s="22">
        <v>0</v>
      </c>
      <c r="F115" s="84">
        <f>SUMIFS('Data (TB)'!$E$6:$E$524,'Data (TB)'!$A$6:$A$524,'Budget Worksheet'!B115)</f>
        <v>54.18</v>
      </c>
      <c r="G115" s="62">
        <f t="shared" si="18"/>
        <v>92.88</v>
      </c>
      <c r="H115" s="85">
        <v>0</v>
      </c>
      <c r="I115" s="102">
        <f t="shared" si="14"/>
        <v>92.88</v>
      </c>
      <c r="J115" s="85">
        <v>550</v>
      </c>
      <c r="K115" s="87">
        <f t="shared" si="15"/>
        <v>-550</v>
      </c>
      <c r="L115" s="85">
        <v>0</v>
      </c>
      <c r="M115" s="86">
        <f t="shared" si="16"/>
        <v>550</v>
      </c>
      <c r="N115" s="85">
        <v>600</v>
      </c>
      <c r="O115" s="86">
        <f t="shared" si="16"/>
        <v>-600</v>
      </c>
      <c r="P115" s="85">
        <v>600</v>
      </c>
      <c r="Q115" s="86">
        <f t="shared" si="19"/>
        <v>-600</v>
      </c>
      <c r="R115" s="62">
        <f>_xlfn.XLOOKUP(B115,'Data (TB)'!$A$6:$A$554,'Data (TB)'!$E$6:$E$554,0)/'Data (TB)'!$C$2*12</f>
        <v>72.239999999999995</v>
      </c>
      <c r="S115" s="100">
        <f>SUMIFS(Chris!$G$5:$G$150,Chris!$A$5:$A$150,B115)</f>
        <v>600</v>
      </c>
      <c r="T115" s="87">
        <f t="shared" si="12"/>
        <v>527.76</v>
      </c>
      <c r="U115" s="100">
        <f>SUMIFS(Chris!$H$5:$H$150,Chris!$A$5:$A$150,B115)</f>
        <v>600</v>
      </c>
      <c r="V115" s="86">
        <f t="shared" si="13"/>
        <v>-527.76</v>
      </c>
      <c r="X115" s="1">
        <f>MATCH(B115,'Master Budget'!$G$4:$G$360,0)</f>
        <v>213</v>
      </c>
    </row>
    <row r="116" spans="1:27" x14ac:dyDescent="0.25">
      <c r="B116" s="1" t="s">
        <v>615</v>
      </c>
      <c r="C116" s="1" t="s">
        <v>278</v>
      </c>
      <c r="E116" s="22"/>
      <c r="F116" s="84"/>
      <c r="G116" s="62"/>
      <c r="H116" s="85"/>
      <c r="I116" s="86"/>
      <c r="J116" s="85">
        <v>0</v>
      </c>
      <c r="K116" s="87">
        <f t="shared" ref="K116" si="20">ROUND(H116-J116,0)</f>
        <v>0</v>
      </c>
      <c r="L116" s="85">
        <v>0</v>
      </c>
      <c r="M116" s="86">
        <f t="shared" ref="M116:O116" si="21">J116-L116</f>
        <v>0</v>
      </c>
      <c r="N116" s="85">
        <v>0</v>
      </c>
      <c r="O116" s="86">
        <f t="shared" si="21"/>
        <v>0</v>
      </c>
      <c r="P116" s="85">
        <v>0</v>
      </c>
      <c r="Q116" s="86">
        <f t="shared" si="19"/>
        <v>0</v>
      </c>
      <c r="R116" s="62">
        <f>_xlfn.XLOOKUP(B116,'Data (TB)'!$A$6:$A$554,'Data (TB)'!$E$6:$E$554,0)/'Data (TB)'!$C$2*12</f>
        <v>0</v>
      </c>
      <c r="S116" s="100">
        <f>SUMIFS(Chris!$G$5:$G$150,Chris!$A$5:$A$150,B116)</f>
        <v>0</v>
      </c>
      <c r="T116" s="87">
        <f t="shared" si="12"/>
        <v>0</v>
      </c>
      <c r="U116" s="100">
        <f>SUMIFS(Chris!$H$5:$H$150,Chris!$A$5:$A$150,B116)</f>
        <v>0</v>
      </c>
      <c r="V116" s="86">
        <f t="shared" si="13"/>
        <v>0</v>
      </c>
      <c r="X116" s="1">
        <f>MATCH(B116,'Master Budget'!$G$4:$G$360,0)</f>
        <v>214</v>
      </c>
    </row>
    <row r="117" spans="1:27" x14ac:dyDescent="0.25">
      <c r="A117" s="1">
        <v>109</v>
      </c>
      <c r="B117" s="1" t="s">
        <v>616</v>
      </c>
      <c r="C117" s="1" t="s">
        <v>1054</v>
      </c>
      <c r="D117" s="1">
        <f>_xlfn.XLOOKUP(B117,'Master Budget'!$G$4:$G$210,'Master Budget'!$D$4:$D$210,0)</f>
        <v>0</v>
      </c>
      <c r="E117" s="22">
        <v>9172.81</v>
      </c>
      <c r="F117" s="84">
        <f>SUMIFS('Data (TB)'!$E$6:$E$524,'Data (TB)'!$A$6:$A$524,'Budget Worksheet'!B117)</f>
        <v>7458.45</v>
      </c>
      <c r="G117" s="62">
        <f t="shared" si="18"/>
        <v>12785.914285714283</v>
      </c>
      <c r="H117" s="85">
        <v>7000</v>
      </c>
      <c r="I117" s="86">
        <f t="shared" si="14"/>
        <v>5785.9142857142833</v>
      </c>
      <c r="J117" s="85">
        <v>7000</v>
      </c>
      <c r="K117" s="87">
        <f t="shared" si="15"/>
        <v>0</v>
      </c>
      <c r="L117" s="85">
        <v>7000</v>
      </c>
      <c r="M117" s="86">
        <f t="shared" si="16"/>
        <v>0</v>
      </c>
      <c r="N117" s="85">
        <v>7000</v>
      </c>
      <c r="O117" s="86">
        <f t="shared" si="16"/>
        <v>0</v>
      </c>
      <c r="P117" s="85">
        <v>7000</v>
      </c>
      <c r="Q117" s="86">
        <f t="shared" si="19"/>
        <v>0</v>
      </c>
      <c r="R117" s="62">
        <f>_xlfn.XLOOKUP(B117,'Data (TB)'!$A$6:$A$554,'Data (TB)'!$E$6:$E$554,0)/'Data (TB)'!$C$2*12</f>
        <v>9944.6</v>
      </c>
      <c r="S117" s="100">
        <f>SUMIFS(Chris!$G$5:$G$150,Chris!$A$5:$A$150,B117)</f>
        <v>9000</v>
      </c>
      <c r="T117" s="87">
        <f t="shared" si="12"/>
        <v>-944.60000000000036</v>
      </c>
      <c r="U117" s="100">
        <f>SUMIFS(Chris!$H$5:$H$150,Chris!$A$5:$A$150,B117)</f>
        <v>9000</v>
      </c>
      <c r="V117" s="86">
        <f t="shared" si="13"/>
        <v>944.60000000000036</v>
      </c>
      <c r="X117" s="1">
        <f>MATCH(B117,'Master Budget'!$G$4:$G$360,0)</f>
        <v>215</v>
      </c>
    </row>
    <row r="118" spans="1:27" x14ac:dyDescent="0.25">
      <c r="A118" s="1">
        <v>110</v>
      </c>
      <c r="B118" s="1" t="s">
        <v>617</v>
      </c>
      <c r="C118" s="1" t="s">
        <v>120</v>
      </c>
      <c r="D118" s="1">
        <f>_xlfn.XLOOKUP(B118,'Master Budget'!$G$4:$G$210,'Master Budget'!$D$4:$D$210,0)</f>
        <v>0</v>
      </c>
      <c r="E118" s="22">
        <v>1658.82</v>
      </c>
      <c r="F118" s="84">
        <f>SUMIFS('Data (TB)'!$E$6:$E$524,'Data (TB)'!$A$6:$A$524,'Budget Worksheet'!B118)</f>
        <v>8796.9</v>
      </c>
      <c r="G118" s="62">
        <f t="shared" si="18"/>
        <v>15080.400000000001</v>
      </c>
      <c r="H118" s="85">
        <v>4000</v>
      </c>
      <c r="I118" s="86">
        <f t="shared" si="14"/>
        <v>11080.400000000001</v>
      </c>
      <c r="J118" s="85">
        <v>7500</v>
      </c>
      <c r="K118" s="87">
        <f t="shared" si="15"/>
        <v>-3500</v>
      </c>
      <c r="L118" s="85">
        <v>6500</v>
      </c>
      <c r="M118" s="86">
        <f t="shared" si="16"/>
        <v>1000</v>
      </c>
      <c r="N118" s="85">
        <v>6500</v>
      </c>
      <c r="O118" s="86">
        <f t="shared" si="16"/>
        <v>0</v>
      </c>
      <c r="P118" s="85">
        <v>6500</v>
      </c>
      <c r="Q118" s="86">
        <f t="shared" si="19"/>
        <v>0</v>
      </c>
      <c r="R118" s="62">
        <f>_xlfn.XLOOKUP(B118,'Data (TB)'!$A$6:$A$554,'Data (TB)'!$E$6:$E$554,0)/'Data (TB)'!$C$2*12</f>
        <v>11729.199999999999</v>
      </c>
      <c r="S118" s="100">
        <f>SUMIFS(Chris!$G$5:$G$150,Chris!$A$5:$A$150,B118)</f>
        <v>12000</v>
      </c>
      <c r="T118" s="87">
        <f t="shared" si="12"/>
        <v>270.80000000000109</v>
      </c>
      <c r="U118" s="100">
        <f>SUMIFS(Chris!$H$5:$H$150,Chris!$A$5:$A$150,B118)</f>
        <v>12000</v>
      </c>
      <c r="V118" s="86">
        <f t="shared" si="13"/>
        <v>-270.80000000000109</v>
      </c>
      <c r="X118" s="1">
        <f>MATCH(B118,'Master Budget'!$G$4:$G$360,0)</f>
        <v>216</v>
      </c>
    </row>
    <row r="119" spans="1:27" x14ac:dyDescent="0.25">
      <c r="A119" s="1">
        <v>111</v>
      </c>
      <c r="B119" s="1" t="s">
        <v>618</v>
      </c>
      <c r="C119" s="1" t="s">
        <v>124</v>
      </c>
      <c r="D119" s="1">
        <f>_xlfn.XLOOKUP(B119,'Master Budget'!$G$4:$G$210,'Master Budget'!$D$4:$D$210,0)</f>
        <v>0</v>
      </c>
      <c r="E119" s="22">
        <v>4785</v>
      </c>
      <c r="F119" s="84">
        <f>SUMIFS('Data (TB)'!$E$6:$E$524,'Data (TB)'!$A$6:$A$524,'Budget Worksheet'!B119)</f>
        <v>7418.57</v>
      </c>
      <c r="G119" s="62">
        <f t="shared" si="18"/>
        <v>12717.548571428571</v>
      </c>
      <c r="H119" s="85">
        <v>10000</v>
      </c>
      <c r="I119" s="86">
        <f t="shared" si="14"/>
        <v>2717.5485714285714</v>
      </c>
      <c r="J119" s="85">
        <v>10000</v>
      </c>
      <c r="K119" s="87">
        <f t="shared" si="15"/>
        <v>0</v>
      </c>
      <c r="L119" s="85">
        <v>10000</v>
      </c>
      <c r="M119" s="86">
        <f t="shared" si="16"/>
        <v>0</v>
      </c>
      <c r="N119" s="85">
        <v>10000</v>
      </c>
      <c r="O119" s="86">
        <f t="shared" si="16"/>
        <v>0</v>
      </c>
      <c r="P119" s="85">
        <v>10000</v>
      </c>
      <c r="Q119" s="86">
        <f t="shared" si="19"/>
        <v>0</v>
      </c>
      <c r="R119" s="62">
        <f>_xlfn.XLOOKUP(B119,'Data (TB)'!$A$6:$A$554,'Data (TB)'!$E$6:$E$554,0)/'Data (TB)'!$C$2*12</f>
        <v>9891.4266666666663</v>
      </c>
      <c r="S119" s="100">
        <f>SUMIFS(Chris!$G$5:$G$150,Chris!$A$5:$A$150,B119)</f>
        <v>10000</v>
      </c>
      <c r="T119" s="87">
        <f t="shared" si="12"/>
        <v>108.57333333333372</v>
      </c>
      <c r="U119" s="100">
        <f>SUMIFS(Chris!$H$5:$H$150,Chris!$A$5:$A$150,B119)</f>
        <v>10000</v>
      </c>
      <c r="V119" s="86">
        <f t="shared" si="13"/>
        <v>-108.57333333333372</v>
      </c>
      <c r="X119" s="1">
        <f>MATCH(B119,'Master Budget'!$G$4:$G$360,0)</f>
        <v>217</v>
      </c>
    </row>
    <row r="120" spans="1:27" x14ac:dyDescent="0.25">
      <c r="A120" s="1">
        <v>112</v>
      </c>
      <c r="B120" s="1" t="s">
        <v>619</v>
      </c>
      <c r="C120" s="1" t="s">
        <v>126</v>
      </c>
      <c r="D120" s="1">
        <f>_xlfn.XLOOKUP(B120,'Master Budget'!$G$4:$G$210,'Master Budget'!$D$4:$D$210,0)</f>
        <v>0</v>
      </c>
      <c r="E120" s="22">
        <v>10585.39</v>
      </c>
      <c r="F120" s="84">
        <f>SUMIFS('Data (TB)'!$E$6:$E$524,'Data (TB)'!$A$6:$A$524,'Budget Worksheet'!B120)</f>
        <v>2475.38</v>
      </c>
      <c r="G120" s="62">
        <f t="shared" si="18"/>
        <v>4243.5085714285715</v>
      </c>
      <c r="H120" s="85">
        <v>8000</v>
      </c>
      <c r="I120" s="86">
        <f t="shared" si="14"/>
        <v>-3756.4914285714285</v>
      </c>
      <c r="J120" s="85">
        <v>8000</v>
      </c>
      <c r="K120" s="87">
        <f t="shared" si="15"/>
        <v>0</v>
      </c>
      <c r="L120" s="85">
        <v>8000</v>
      </c>
      <c r="M120" s="86">
        <f t="shared" si="16"/>
        <v>0</v>
      </c>
      <c r="N120" s="85">
        <v>8000</v>
      </c>
      <c r="O120" s="86">
        <f t="shared" si="16"/>
        <v>0</v>
      </c>
      <c r="P120" s="85">
        <v>8000</v>
      </c>
      <c r="Q120" s="86">
        <f t="shared" si="19"/>
        <v>0</v>
      </c>
      <c r="R120" s="62">
        <f>_xlfn.XLOOKUP(B120,'Data (TB)'!$A$6:$A$554,'Data (TB)'!$E$6:$E$554,0)/'Data (TB)'!$C$2*12</f>
        <v>3300.5066666666667</v>
      </c>
      <c r="S120" s="100">
        <f>SUMIFS(Chris!$G$5:$G$150,Chris!$A$5:$A$150,B120)</f>
        <v>8000</v>
      </c>
      <c r="T120" s="87">
        <f t="shared" si="12"/>
        <v>4699.4933333333338</v>
      </c>
      <c r="U120" s="100">
        <f>SUMIFS(Chris!$H$5:$H$150,Chris!$A$5:$A$150,B120)</f>
        <v>8000</v>
      </c>
      <c r="V120" s="86">
        <f t="shared" si="13"/>
        <v>-4699.4933333333338</v>
      </c>
      <c r="X120" s="1">
        <f>MATCH(B120,'Master Budget'!$G$4:$G$360,0)</f>
        <v>218</v>
      </c>
    </row>
    <row r="121" spans="1:27" x14ac:dyDescent="0.25">
      <c r="A121" s="1">
        <v>113</v>
      </c>
      <c r="B121" s="1" t="s">
        <v>620</v>
      </c>
      <c r="C121" s="1" t="s">
        <v>287</v>
      </c>
      <c r="D121" s="1">
        <f>_xlfn.XLOOKUP(B121,'Master Budget'!$G$4:$G$210,'Master Budget'!$D$4:$D$210,0)</f>
        <v>0</v>
      </c>
      <c r="E121" s="22">
        <v>2997</v>
      </c>
      <c r="F121" s="84">
        <f>SUMIFS('Data (TB)'!$E$6:$E$524,'Data (TB)'!$A$6:$A$524,'Budget Worksheet'!B121)</f>
        <v>2533.35</v>
      </c>
      <c r="G121" s="62">
        <f t="shared" si="18"/>
        <v>4342.8857142857141</v>
      </c>
      <c r="H121" s="85">
        <v>6000</v>
      </c>
      <c r="I121" s="86">
        <f t="shared" si="14"/>
        <v>-1657.1142857142859</v>
      </c>
      <c r="J121" s="85">
        <v>6000</v>
      </c>
      <c r="K121" s="87">
        <f t="shared" si="15"/>
        <v>0</v>
      </c>
      <c r="L121" s="85">
        <v>6000</v>
      </c>
      <c r="M121" s="86">
        <f t="shared" si="16"/>
        <v>0</v>
      </c>
      <c r="N121" s="85">
        <v>6000</v>
      </c>
      <c r="O121" s="86">
        <f t="shared" si="16"/>
        <v>0</v>
      </c>
      <c r="P121" s="85">
        <v>6000</v>
      </c>
      <c r="Q121" s="86">
        <f t="shared" si="19"/>
        <v>0</v>
      </c>
      <c r="R121" s="62">
        <f>_xlfn.XLOOKUP(B121,'Data (TB)'!$A$6:$A$554,'Data (TB)'!$E$6:$E$554,0)/'Data (TB)'!$C$2*12</f>
        <v>3377.8</v>
      </c>
      <c r="S121" s="100">
        <f>SUMIFS(Chris!$G$5:$G$150,Chris!$A$5:$A$150,B121)</f>
        <v>6000</v>
      </c>
      <c r="T121" s="87">
        <f t="shared" si="12"/>
        <v>2622.2</v>
      </c>
      <c r="U121" s="100">
        <f>SUMIFS(Chris!$H$5:$H$150,Chris!$A$5:$A$150,B121)</f>
        <v>6000</v>
      </c>
      <c r="V121" s="86">
        <f t="shared" si="13"/>
        <v>-2622.2</v>
      </c>
      <c r="X121" s="1">
        <f>MATCH(B121,'Master Budget'!$G$4:$G$360,0)</f>
        <v>219</v>
      </c>
    </row>
    <row r="122" spans="1:27" x14ac:dyDescent="0.25">
      <c r="A122" s="1">
        <v>114</v>
      </c>
      <c r="B122" s="1" t="s">
        <v>621</v>
      </c>
      <c r="C122" s="1" t="s">
        <v>132</v>
      </c>
      <c r="D122" s="1">
        <f>_xlfn.XLOOKUP(B122,'Master Budget'!$G$4:$G$210,'Master Budget'!$D$4:$D$210,0)</f>
        <v>0</v>
      </c>
      <c r="E122" s="22">
        <v>18061.18</v>
      </c>
      <c r="F122" s="84">
        <f>SUMIFS('Data (TB)'!$E$6:$E$524,'Data (TB)'!$A$6:$A$524,'Budget Worksheet'!B122)</f>
        <v>11654.73</v>
      </c>
      <c r="G122" s="62">
        <f t="shared" si="18"/>
        <v>19979.537142857142</v>
      </c>
      <c r="H122" s="85">
        <v>20000</v>
      </c>
      <c r="I122" s="103">
        <f t="shared" si="14"/>
        <v>-20.462857142858411</v>
      </c>
      <c r="J122" s="85">
        <v>30000</v>
      </c>
      <c r="K122" s="87">
        <f t="shared" si="15"/>
        <v>-10000</v>
      </c>
      <c r="L122" s="85">
        <v>25000</v>
      </c>
      <c r="M122" s="86">
        <f t="shared" si="16"/>
        <v>5000</v>
      </c>
      <c r="N122" s="85">
        <v>25000</v>
      </c>
      <c r="O122" s="86">
        <f t="shared" si="16"/>
        <v>0</v>
      </c>
      <c r="P122" s="85">
        <v>25000</v>
      </c>
      <c r="Q122" s="86">
        <f t="shared" si="19"/>
        <v>0</v>
      </c>
      <c r="R122" s="62">
        <f>_xlfn.XLOOKUP(B122,'Data (TB)'!$A$6:$A$554,'Data (TB)'!$E$6:$E$554,0)/'Data (TB)'!$C$2*12</f>
        <v>15539.64</v>
      </c>
      <c r="S122" s="100">
        <f>SUMIFS(Chris!$G$5:$G$150,Chris!$A$5:$A$150,B122)</f>
        <v>25000</v>
      </c>
      <c r="T122" s="87">
        <f t="shared" si="12"/>
        <v>9460.36</v>
      </c>
      <c r="U122" s="100">
        <f>SUMIFS(Chris!$H$5:$H$150,Chris!$A$5:$A$150,B122)</f>
        <v>25000</v>
      </c>
      <c r="V122" s="86">
        <f t="shared" si="13"/>
        <v>-9460.36</v>
      </c>
      <c r="X122" s="1">
        <f>MATCH(B122,'Master Budget'!$G$4:$G$360,0)</f>
        <v>220</v>
      </c>
    </row>
    <row r="123" spans="1:27" x14ac:dyDescent="0.25">
      <c r="A123" s="1">
        <v>115</v>
      </c>
      <c r="B123" s="1" t="s">
        <v>622</v>
      </c>
      <c r="C123" s="1" t="s">
        <v>291</v>
      </c>
      <c r="D123" s="1">
        <f>_xlfn.XLOOKUP(B123,'Master Budget'!$G$4:$G$210,'Master Budget'!$D$4:$D$210,0)</f>
        <v>0</v>
      </c>
      <c r="E123" s="22">
        <v>0</v>
      </c>
      <c r="F123" s="84">
        <f>SUMIFS('Data (TB)'!$E$6:$E$524,'Data (TB)'!$A$6:$A$524,'Budget Worksheet'!B123)</f>
        <v>30.2</v>
      </c>
      <c r="G123" s="62">
        <f t="shared" si="18"/>
        <v>51.771428571428572</v>
      </c>
      <c r="H123" s="85">
        <v>250</v>
      </c>
      <c r="I123" s="86">
        <f t="shared" si="14"/>
        <v>-198.22857142857143</v>
      </c>
      <c r="J123" s="85">
        <v>250</v>
      </c>
      <c r="K123" s="87">
        <f t="shared" si="15"/>
        <v>0</v>
      </c>
      <c r="L123" s="85">
        <v>300</v>
      </c>
      <c r="M123" s="86">
        <f t="shared" si="16"/>
        <v>-50</v>
      </c>
      <c r="N123" s="85">
        <v>300</v>
      </c>
      <c r="O123" s="86">
        <f t="shared" si="16"/>
        <v>0</v>
      </c>
      <c r="P123" s="85">
        <v>300</v>
      </c>
      <c r="Q123" s="86">
        <f t="shared" si="19"/>
        <v>0</v>
      </c>
      <c r="R123" s="62">
        <f>_xlfn.XLOOKUP(B123,'Data (TB)'!$A$6:$A$554,'Data (TB)'!$E$6:$E$554,0)/'Data (TB)'!$C$2*12</f>
        <v>40.266666666666666</v>
      </c>
      <c r="S123" s="100">
        <f>SUMIFS(Chris!$G$5:$G$150,Chris!$A$5:$A$150,B123)</f>
        <v>300</v>
      </c>
      <c r="T123" s="87">
        <f t="shared" si="12"/>
        <v>259.73333333333335</v>
      </c>
      <c r="U123" s="100">
        <f>SUMIFS(Chris!$H$5:$H$150,Chris!$A$5:$A$150,B123)</f>
        <v>300</v>
      </c>
      <c r="V123" s="86">
        <f t="shared" si="13"/>
        <v>-259.73333333333335</v>
      </c>
      <c r="X123" s="1">
        <f>MATCH(B123,'Master Budget'!$G$4:$G$360,0)</f>
        <v>221</v>
      </c>
    </row>
    <row r="124" spans="1:27" x14ac:dyDescent="0.25">
      <c r="B124" s="1" t="s">
        <v>623</v>
      </c>
      <c r="C124" s="1" t="s">
        <v>295</v>
      </c>
      <c r="E124" s="22"/>
      <c r="F124" s="84"/>
      <c r="G124" s="62"/>
      <c r="H124" s="85"/>
      <c r="I124" s="86"/>
      <c r="J124" s="85">
        <v>0</v>
      </c>
      <c r="K124" s="87">
        <f t="shared" ref="K124" si="22">ROUND(H124-J124,0)</f>
        <v>0</v>
      </c>
      <c r="L124" s="85">
        <v>0</v>
      </c>
      <c r="M124" s="86">
        <f t="shared" ref="M124:O124" si="23">J124-L124</f>
        <v>0</v>
      </c>
      <c r="N124" s="85">
        <v>0</v>
      </c>
      <c r="O124" s="86">
        <f t="shared" si="23"/>
        <v>0</v>
      </c>
      <c r="P124" s="85">
        <v>0</v>
      </c>
      <c r="Q124" s="86">
        <f t="shared" si="19"/>
        <v>0</v>
      </c>
      <c r="R124" s="62">
        <f>_xlfn.XLOOKUP(B124,'Data (TB)'!$A$6:$A$554,'Data (TB)'!$E$6:$E$554,0)/'Data (TB)'!$C$2*12</f>
        <v>840.48</v>
      </c>
      <c r="S124" s="100">
        <f>SUMIFS(Chris!$G$5:$G$150,Chris!$A$5:$A$150,B124)</f>
        <v>0</v>
      </c>
      <c r="T124" s="87">
        <f t="shared" si="12"/>
        <v>-840.48</v>
      </c>
      <c r="U124" s="100">
        <f>SUMIFS(Chris!$H$5:$H$150,Chris!$A$5:$A$150,B124)</f>
        <v>0</v>
      </c>
      <c r="V124" s="86">
        <f t="shared" si="13"/>
        <v>840.48</v>
      </c>
      <c r="X124" s="1">
        <f>MATCH(B124,'Master Budget'!$G$4:$G$360,0)</f>
        <v>222</v>
      </c>
    </row>
    <row r="125" spans="1:27" x14ac:dyDescent="0.25">
      <c r="A125" s="1">
        <v>116</v>
      </c>
      <c r="B125" s="1" t="s">
        <v>624</v>
      </c>
      <c r="C125" s="1" t="s">
        <v>297</v>
      </c>
      <c r="D125" s="1">
        <f>_xlfn.XLOOKUP(B125,'Master Budget'!$G$4:$G$210,'Master Budget'!$D$4:$D$210,0)</f>
        <v>0</v>
      </c>
      <c r="E125" s="22">
        <v>3832.07</v>
      </c>
      <c r="F125" s="84">
        <f>SUMIFS('Data (TB)'!$E$6:$E$524,'Data (TB)'!$A$6:$A$524,'Budget Worksheet'!B125)</f>
        <v>4518.87</v>
      </c>
      <c r="G125" s="62">
        <f t="shared" si="18"/>
        <v>7746.6342857142845</v>
      </c>
      <c r="H125" s="85">
        <v>6500</v>
      </c>
      <c r="I125" s="86">
        <f t="shared" si="14"/>
        <v>1246.6342857142845</v>
      </c>
      <c r="J125" s="85">
        <v>6500</v>
      </c>
      <c r="K125" s="87">
        <f t="shared" si="15"/>
        <v>0</v>
      </c>
      <c r="L125" s="85">
        <v>6500</v>
      </c>
      <c r="M125" s="86">
        <f t="shared" si="16"/>
        <v>0</v>
      </c>
      <c r="N125" s="85">
        <v>6500</v>
      </c>
      <c r="O125" s="86">
        <f t="shared" si="16"/>
        <v>0</v>
      </c>
      <c r="P125" s="85">
        <v>6500</v>
      </c>
      <c r="Q125" s="86">
        <f t="shared" si="19"/>
        <v>0</v>
      </c>
      <c r="R125" s="62">
        <f>_xlfn.XLOOKUP(B125,'Data (TB)'!$A$6:$A$554,'Data (TB)'!$E$6:$E$554,0)/'Data (TB)'!$C$2*12</f>
        <v>6025.16</v>
      </c>
      <c r="S125" s="100">
        <f>SUMIFS(Chris!$G$5:$G$150,Chris!$A$5:$A$150,B125)</f>
        <v>7000</v>
      </c>
      <c r="T125" s="87">
        <f t="shared" si="12"/>
        <v>974.84000000000015</v>
      </c>
      <c r="U125" s="100">
        <f>SUMIFS(Chris!$H$5:$H$150,Chris!$A$5:$A$150,B125)</f>
        <v>14000</v>
      </c>
      <c r="V125" s="86">
        <f t="shared" si="13"/>
        <v>-7974.84</v>
      </c>
      <c r="X125" s="1">
        <f>MATCH(B125,'Master Budget'!$G$4:$G$360,0)</f>
        <v>223</v>
      </c>
    </row>
    <row r="126" spans="1:27" x14ac:dyDescent="0.25">
      <c r="A126" s="1">
        <v>117</v>
      </c>
      <c r="B126" s="1" t="s">
        <v>625</v>
      </c>
      <c r="C126" s="1" t="s">
        <v>303</v>
      </c>
      <c r="D126" s="1">
        <f>_xlfn.XLOOKUP(B126,'Master Budget'!$G$4:$G$210,'Master Budget'!$D$4:$D$210,0)</f>
        <v>0</v>
      </c>
      <c r="E126" s="22">
        <v>11942.08</v>
      </c>
      <c r="F126" s="84">
        <f>SUMIFS('Data (TB)'!$E$6:$E$524,'Data (TB)'!$A$6:$A$524,'Budget Worksheet'!B126)</f>
        <v>17254.36</v>
      </c>
      <c r="G126" s="62">
        <f t="shared" si="18"/>
        <v>29578.902857142857</v>
      </c>
      <c r="H126" s="85">
        <v>18000</v>
      </c>
      <c r="I126" s="86">
        <f t="shared" si="14"/>
        <v>11578.902857142857</v>
      </c>
      <c r="J126" s="85">
        <v>18000</v>
      </c>
      <c r="K126" s="87">
        <f t="shared" si="15"/>
        <v>0</v>
      </c>
      <c r="L126" s="85">
        <v>18000</v>
      </c>
      <c r="M126" s="86">
        <f t="shared" si="16"/>
        <v>0</v>
      </c>
      <c r="N126" s="85">
        <v>18000</v>
      </c>
      <c r="O126" s="86">
        <f t="shared" si="16"/>
        <v>0</v>
      </c>
      <c r="P126" s="85">
        <v>18000</v>
      </c>
      <c r="Q126" s="86">
        <f t="shared" si="19"/>
        <v>0</v>
      </c>
      <c r="R126" s="62">
        <f>_xlfn.XLOOKUP(B126,'Data (TB)'!$A$6:$A$554,'Data (TB)'!$E$6:$E$554,0)/'Data (TB)'!$C$2*12</f>
        <v>23005.813333333335</v>
      </c>
      <c r="S126" s="100">
        <f>SUMIFS(Chris!$G$5:$G$150,Chris!$A$5:$A$150,B126)</f>
        <v>18000</v>
      </c>
      <c r="T126" s="87">
        <f t="shared" si="12"/>
        <v>-5005.8133333333353</v>
      </c>
      <c r="U126" s="100">
        <f>SUMIFS(Chris!$H$5:$H$150,Chris!$A$5:$A$150,B126)</f>
        <v>18000</v>
      </c>
      <c r="V126" s="86">
        <f t="shared" si="13"/>
        <v>5005.8133333333353</v>
      </c>
      <c r="X126" s="1">
        <f>MATCH(B126,'Master Budget'!$G$4:$G$360,0)</f>
        <v>224</v>
      </c>
      <c r="AA126" s="162"/>
    </row>
    <row r="127" spans="1:27" x14ac:dyDescent="0.25">
      <c r="B127" s="1" t="s">
        <v>848</v>
      </c>
      <c r="C127" s="1" t="s">
        <v>771</v>
      </c>
      <c r="E127" s="22"/>
      <c r="F127" s="84"/>
      <c r="G127" s="62"/>
      <c r="H127" s="85"/>
      <c r="I127" s="86"/>
      <c r="J127" s="85"/>
      <c r="K127" s="87"/>
      <c r="L127" s="85"/>
      <c r="M127" s="86"/>
      <c r="N127" s="85"/>
      <c r="O127" s="86"/>
      <c r="P127" s="85"/>
      <c r="Q127" s="86"/>
      <c r="R127" s="62">
        <f>_xlfn.XLOOKUP(B127,'Data (TB)'!$A$6:$A$554,'Data (TB)'!$E$6:$E$554,0)/'Data (TB)'!$C$2*12</f>
        <v>4225.2000000000007</v>
      </c>
      <c r="S127" s="100">
        <f>SUMIFS(Chris!$G$5:$G$150,Chris!$A$5:$A$150,B127)</f>
        <v>0</v>
      </c>
      <c r="T127" s="87">
        <f t="shared" si="12"/>
        <v>-4225.2000000000007</v>
      </c>
      <c r="U127" s="100">
        <f>SUMIFS(Chris!$H$5:$H$150,Chris!$A$5:$A$150,B127)</f>
        <v>0</v>
      </c>
      <c r="V127" s="86">
        <f t="shared" si="13"/>
        <v>4225.2000000000007</v>
      </c>
    </row>
    <row r="128" spans="1:27" x14ac:dyDescent="0.25">
      <c r="A128" s="1">
        <v>118</v>
      </c>
      <c r="B128" s="1" t="s">
        <v>626</v>
      </c>
      <c r="C128" s="1" t="s">
        <v>627</v>
      </c>
      <c r="D128" s="1">
        <f>_xlfn.XLOOKUP(B128,'Master Budget'!$G$4:$G$210,'Master Budget'!$D$4:$D$210,0)</f>
        <v>0</v>
      </c>
      <c r="E128" s="22">
        <v>257.3</v>
      </c>
      <c r="F128" s="84">
        <f>SUMIFS('Data (TB)'!$E$6:$E$524,'Data (TB)'!$A$6:$A$524,'Budget Worksheet'!B128)</f>
        <v>1163.1199999999999</v>
      </c>
      <c r="G128" s="62">
        <f t="shared" si="18"/>
        <v>1993.92</v>
      </c>
      <c r="H128" s="85">
        <v>800</v>
      </c>
      <c r="I128" s="86">
        <f t="shared" si="14"/>
        <v>1193.92</v>
      </c>
      <c r="J128" s="85">
        <v>1850</v>
      </c>
      <c r="K128" s="87">
        <f t="shared" si="15"/>
        <v>-1050</v>
      </c>
      <c r="L128" s="85">
        <v>1000</v>
      </c>
      <c r="M128" s="86">
        <f t="shared" si="16"/>
        <v>850</v>
      </c>
      <c r="N128" s="85">
        <v>1850</v>
      </c>
      <c r="O128" s="86">
        <f t="shared" si="16"/>
        <v>-850</v>
      </c>
      <c r="P128" s="85">
        <v>1850</v>
      </c>
      <c r="Q128" s="86">
        <f t="shared" si="19"/>
        <v>-850</v>
      </c>
      <c r="R128" s="62">
        <f>_xlfn.XLOOKUP(B128,'Data (TB)'!$A$6:$A$554,'Data (TB)'!$E$6:$E$554,0)/'Data (TB)'!$C$2*12</f>
        <v>1550.8266666666666</v>
      </c>
      <c r="S128" s="100">
        <f>SUMIFS(Chris!$G$5:$G$150,Chris!$A$5:$A$150,B128)</f>
        <v>1850</v>
      </c>
      <c r="T128" s="87">
        <f t="shared" si="12"/>
        <v>299.1733333333334</v>
      </c>
      <c r="U128" s="100">
        <f>SUMIFS(Chris!$H$5:$H$150,Chris!$A$5:$A$150,B128)</f>
        <v>2500</v>
      </c>
      <c r="V128" s="86">
        <f t="shared" si="13"/>
        <v>-949.1733333333334</v>
      </c>
      <c r="X128" s="1">
        <f>MATCH(B128,'Master Budget'!$G$4:$G$360,0)</f>
        <v>225</v>
      </c>
    </row>
    <row r="129" spans="1:24" x14ac:dyDescent="0.25">
      <c r="A129" s="1">
        <v>119</v>
      </c>
      <c r="B129" s="1" t="s">
        <v>628</v>
      </c>
      <c r="C129" s="1" t="s">
        <v>311</v>
      </c>
      <c r="D129" s="1">
        <f>_xlfn.XLOOKUP(B129,'Master Budget'!$G$4:$G$210,'Master Budget'!$D$4:$D$210,0)</f>
        <v>0</v>
      </c>
      <c r="E129" s="22">
        <v>1958.57</v>
      </c>
      <c r="F129" s="84">
        <f>SUMIFS('Data (TB)'!$E$6:$E$524,'Data (TB)'!$A$6:$A$524,'Budget Worksheet'!B129)</f>
        <v>2275.4499999999998</v>
      </c>
      <c r="G129" s="62">
        <f t="shared" si="18"/>
        <v>3900.7714285714283</v>
      </c>
      <c r="H129" s="85">
        <v>3000</v>
      </c>
      <c r="I129" s="86">
        <f t="shared" si="14"/>
        <v>900.77142857142826</v>
      </c>
      <c r="J129" s="85">
        <v>3000</v>
      </c>
      <c r="K129" s="87">
        <f t="shared" si="15"/>
        <v>0</v>
      </c>
      <c r="L129" s="85">
        <v>3000</v>
      </c>
      <c r="M129" s="86">
        <f t="shared" si="16"/>
        <v>0</v>
      </c>
      <c r="N129" s="85">
        <v>3000</v>
      </c>
      <c r="O129" s="86">
        <f t="shared" si="16"/>
        <v>0</v>
      </c>
      <c r="P129" s="85">
        <v>3000</v>
      </c>
      <c r="Q129" s="86">
        <f t="shared" si="19"/>
        <v>0</v>
      </c>
      <c r="R129" s="62">
        <f>_xlfn.XLOOKUP(B129,'Data (TB)'!$A$6:$A$554,'Data (TB)'!$E$6:$E$554,0)/'Data (TB)'!$C$2*12</f>
        <v>3033.9333333333329</v>
      </c>
      <c r="S129" s="100">
        <f>SUMIFS(Chris!$G$5:$G$150,Chris!$A$5:$A$150,B129)</f>
        <v>3500</v>
      </c>
      <c r="T129" s="87">
        <f t="shared" si="12"/>
        <v>466.06666666666706</v>
      </c>
      <c r="U129" s="100">
        <f>SUMIFS(Chris!$H$5:$H$150,Chris!$A$5:$A$150,B129)</f>
        <v>3500</v>
      </c>
      <c r="V129" s="86">
        <f t="shared" si="13"/>
        <v>-466.06666666666706</v>
      </c>
      <c r="X129" s="1">
        <f>MATCH(B129,'Master Budget'!$G$4:$G$360,0)</f>
        <v>226</v>
      </c>
    </row>
    <row r="130" spans="1:24" x14ac:dyDescent="0.25">
      <c r="A130" s="1">
        <v>120</v>
      </c>
      <c r="B130" s="1" t="s">
        <v>629</v>
      </c>
      <c r="C130" s="1" t="s">
        <v>313</v>
      </c>
      <c r="D130" s="1">
        <f>_xlfn.XLOOKUP(B130,'Master Budget'!$G$4:$G$210,'Master Budget'!$D$4:$D$210,0)</f>
        <v>0</v>
      </c>
      <c r="E130" s="22">
        <v>1787.82</v>
      </c>
      <c r="F130" s="84">
        <f>SUMIFS('Data (TB)'!$E$6:$E$524,'Data (TB)'!$A$6:$A$524,'Budget Worksheet'!B130)</f>
        <v>8486.24</v>
      </c>
      <c r="G130" s="62">
        <f t="shared" si="18"/>
        <v>14547.84</v>
      </c>
      <c r="H130" s="85">
        <v>3000</v>
      </c>
      <c r="I130" s="86">
        <f t="shared" si="14"/>
        <v>11547.84</v>
      </c>
      <c r="J130" s="85">
        <v>3000</v>
      </c>
      <c r="K130" s="87">
        <f t="shared" si="15"/>
        <v>0</v>
      </c>
      <c r="L130" s="85">
        <v>3000</v>
      </c>
      <c r="M130" s="86">
        <f t="shared" si="16"/>
        <v>0</v>
      </c>
      <c r="N130" s="85">
        <v>3000</v>
      </c>
      <c r="O130" s="86">
        <f t="shared" si="16"/>
        <v>0</v>
      </c>
      <c r="P130" s="85">
        <v>3000</v>
      </c>
      <c r="Q130" s="86">
        <f t="shared" si="19"/>
        <v>0</v>
      </c>
      <c r="R130" s="62">
        <f>_xlfn.XLOOKUP(B130,'Data (TB)'!$A$6:$A$554,'Data (TB)'!$E$6:$E$554,0)/'Data (TB)'!$C$2*12</f>
        <v>11314.986666666668</v>
      </c>
      <c r="S130" s="100">
        <f>SUMIFS(Chris!$G$5:$G$150,Chris!$A$5:$A$150,B130)</f>
        <v>10000</v>
      </c>
      <c r="T130" s="87">
        <f t="shared" si="12"/>
        <v>-1314.9866666666676</v>
      </c>
      <c r="U130" s="100">
        <f>SUMIFS(Chris!$H$5:$H$150,Chris!$A$5:$A$150,B130)</f>
        <v>5000</v>
      </c>
      <c r="V130" s="86">
        <f t="shared" si="13"/>
        <v>6314.9866666666676</v>
      </c>
      <c r="X130" s="1">
        <f>MATCH(B130,'Master Budget'!$G$4:$G$360,0)</f>
        <v>227</v>
      </c>
    </row>
    <row r="131" spans="1:24" x14ac:dyDescent="0.25">
      <c r="A131" s="1">
        <v>121</v>
      </c>
      <c r="B131" s="1" t="s">
        <v>630</v>
      </c>
      <c r="C131" s="1" t="s">
        <v>498</v>
      </c>
      <c r="D131" s="1">
        <f>_xlfn.XLOOKUP(B131,'Master Budget'!$G$4:$G$210,'Master Budget'!$D$4:$D$210,0)</f>
        <v>0</v>
      </c>
      <c r="E131" s="22">
        <v>0</v>
      </c>
      <c r="F131" s="84">
        <f>SUMIFS('Data (TB)'!$E$6:$E$524,'Data (TB)'!$A$6:$A$524,'Budget Worksheet'!B131)</f>
        <v>0</v>
      </c>
      <c r="G131" s="62">
        <f t="shared" si="18"/>
        <v>0</v>
      </c>
      <c r="H131" s="85">
        <v>0</v>
      </c>
      <c r="I131" s="86">
        <f t="shared" si="14"/>
        <v>0</v>
      </c>
      <c r="J131" s="85">
        <v>0</v>
      </c>
      <c r="K131" s="87">
        <f t="shared" si="15"/>
        <v>0</v>
      </c>
      <c r="L131" s="85">
        <v>0</v>
      </c>
      <c r="M131" s="86">
        <f t="shared" si="16"/>
        <v>0</v>
      </c>
      <c r="N131" s="85">
        <v>0</v>
      </c>
      <c r="O131" s="86">
        <f t="shared" si="16"/>
        <v>0</v>
      </c>
      <c r="P131" s="85">
        <v>0</v>
      </c>
      <c r="Q131" s="86">
        <f t="shared" si="19"/>
        <v>0</v>
      </c>
      <c r="R131" s="62">
        <f>_xlfn.XLOOKUP(B131,'Data (TB)'!$A$6:$A$554,'Data (TB)'!$E$6:$E$554,0)/'Data (TB)'!$C$2*12</f>
        <v>0</v>
      </c>
      <c r="S131" s="100">
        <f>SUMIFS(Chris!$G$5:$G$150,Chris!$A$5:$A$150,B131)</f>
        <v>0</v>
      </c>
      <c r="T131" s="87">
        <f t="shared" si="12"/>
        <v>0</v>
      </c>
      <c r="U131" s="100">
        <f>SUMIFS(Chris!$H$5:$H$150,Chris!$A$5:$A$150,B131)</f>
        <v>0</v>
      </c>
      <c r="V131" s="86">
        <f t="shared" si="13"/>
        <v>0</v>
      </c>
      <c r="X131" s="1">
        <f>MATCH(B131,'Master Budget'!$G$4:$G$360,0)</f>
        <v>229</v>
      </c>
    </row>
    <row r="132" spans="1:24" x14ac:dyDescent="0.25">
      <c r="A132" s="1">
        <v>122</v>
      </c>
      <c r="B132" s="1" t="s">
        <v>631</v>
      </c>
      <c r="C132" s="1" t="s">
        <v>322</v>
      </c>
      <c r="D132" s="1">
        <f>_xlfn.XLOOKUP(B132,'Master Budget'!$G$4:$G$210,'Master Budget'!$D$4:$D$210,0)</f>
        <v>0</v>
      </c>
      <c r="E132" s="22">
        <v>4176.1000000000004</v>
      </c>
      <c r="F132" s="84">
        <f>SUMIFS('Data (TB)'!$E$6:$E$524,'Data (TB)'!$A$6:$A$524,'Budget Worksheet'!B132)</f>
        <v>0</v>
      </c>
      <c r="G132" s="62">
        <f t="shared" ref="G132:G164" si="24">F132/$G$1*12</f>
        <v>0</v>
      </c>
      <c r="H132" s="85">
        <v>8100</v>
      </c>
      <c r="I132" s="86">
        <f t="shared" si="14"/>
        <v>-8100</v>
      </c>
      <c r="J132" s="85">
        <v>8100</v>
      </c>
      <c r="K132" s="87">
        <f t="shared" si="15"/>
        <v>0</v>
      </c>
      <c r="L132" s="85">
        <v>8100</v>
      </c>
      <c r="M132" s="86">
        <f t="shared" si="16"/>
        <v>0</v>
      </c>
      <c r="N132" s="85">
        <v>8100</v>
      </c>
      <c r="O132" s="86">
        <f t="shared" si="16"/>
        <v>0</v>
      </c>
      <c r="P132" s="85">
        <v>8100</v>
      </c>
      <c r="Q132" s="86">
        <f t="shared" si="19"/>
        <v>0</v>
      </c>
      <c r="R132" s="62">
        <f>_xlfn.XLOOKUP(B132,'Data (TB)'!$A$6:$A$554,'Data (TB)'!$E$6:$E$554,0)/'Data (TB)'!$C$2*12</f>
        <v>0</v>
      </c>
      <c r="S132" s="100">
        <f>SUMIFS(Chris!$G$5:$G$150,Chris!$A$5:$A$150,B132)</f>
        <v>0</v>
      </c>
      <c r="T132" s="87">
        <f t="shared" si="12"/>
        <v>0</v>
      </c>
      <c r="U132" s="100">
        <f>SUMIFS(Chris!$H$5:$H$150,Chris!$A$5:$A$150,B132)</f>
        <v>0</v>
      </c>
      <c r="V132" s="86">
        <f t="shared" si="13"/>
        <v>0</v>
      </c>
      <c r="X132" s="1">
        <f>MATCH(B132,'Master Budget'!$G$4:$G$360,0)</f>
        <v>230</v>
      </c>
    </row>
    <row r="133" spans="1:24" x14ac:dyDescent="0.25">
      <c r="A133" s="1">
        <v>123</v>
      </c>
      <c r="B133" s="1" t="s">
        <v>632</v>
      </c>
      <c r="C133" s="1" t="s">
        <v>633</v>
      </c>
      <c r="D133" s="1">
        <f>_xlfn.XLOOKUP(B133,'Master Budget'!$G$4:$G$210,'Master Budget'!$D$4:$D$210,0)</f>
        <v>0</v>
      </c>
      <c r="E133" s="22">
        <v>4274.53</v>
      </c>
      <c r="F133" s="84">
        <f>SUMIFS('Data (TB)'!$E$6:$E$524,'Data (TB)'!$A$6:$A$524,'Budget Worksheet'!B133)</f>
        <v>4397.32</v>
      </c>
      <c r="G133" s="62">
        <f t="shared" si="24"/>
        <v>7538.2628571428577</v>
      </c>
      <c r="H133" s="85">
        <v>3900</v>
      </c>
      <c r="I133" s="86">
        <f t="shared" si="14"/>
        <v>3638.2628571428577</v>
      </c>
      <c r="J133" s="85">
        <v>3900</v>
      </c>
      <c r="K133" s="87">
        <f t="shared" si="15"/>
        <v>0</v>
      </c>
      <c r="L133" s="85">
        <v>3900</v>
      </c>
      <c r="M133" s="86">
        <f t="shared" si="16"/>
        <v>0</v>
      </c>
      <c r="N133" s="85">
        <v>6000</v>
      </c>
      <c r="O133" s="86">
        <f t="shared" si="16"/>
        <v>-2100</v>
      </c>
      <c r="P133" s="85">
        <v>6000</v>
      </c>
      <c r="Q133" s="86">
        <f t="shared" si="19"/>
        <v>-2100</v>
      </c>
      <c r="R133" s="62">
        <f>_xlfn.XLOOKUP(B133,'Data (TB)'!$A$6:$A$554,'Data (TB)'!$E$6:$E$554,0)/'Data (TB)'!$C$2*12</f>
        <v>5863.0933333333332</v>
      </c>
      <c r="S133" s="100">
        <f>SUMIFS(Chris!$G$5:$G$150,Chris!$A$5:$A$150,B133)</f>
        <v>6000</v>
      </c>
      <c r="T133" s="87">
        <f t="shared" si="12"/>
        <v>136.90666666666675</v>
      </c>
      <c r="U133" s="100">
        <f>SUMIFS(Chris!$H$5:$H$150,Chris!$A$5:$A$150,B133)</f>
        <v>6000</v>
      </c>
      <c r="V133" s="86">
        <f t="shared" si="13"/>
        <v>-136.90666666666675</v>
      </c>
      <c r="X133" s="1">
        <f>MATCH(B133,'Master Budget'!$G$4:$G$360,0)</f>
        <v>231</v>
      </c>
    </row>
    <row r="134" spans="1:24" x14ac:dyDescent="0.25">
      <c r="A134" s="1">
        <v>124</v>
      </c>
      <c r="B134" s="1" t="s">
        <v>634</v>
      </c>
      <c r="C134" s="1" t="s">
        <v>329</v>
      </c>
      <c r="D134" s="1">
        <f>_xlfn.XLOOKUP(B134,'Master Budget'!$G$4:$G$210,'Master Budget'!$D$4:$D$210,0)</f>
        <v>0</v>
      </c>
      <c r="E134" s="22">
        <v>518.13</v>
      </c>
      <c r="F134" s="84">
        <f>SUMIFS('Data (TB)'!$E$6:$E$524,'Data (TB)'!$A$6:$A$524,'Budget Worksheet'!B134)</f>
        <v>1698.22</v>
      </c>
      <c r="G134" s="62">
        <f t="shared" si="24"/>
        <v>2911.2342857142858</v>
      </c>
      <c r="H134" s="85">
        <v>1200</v>
      </c>
      <c r="I134" s="86">
        <f t="shared" si="14"/>
        <v>1711.2342857142858</v>
      </c>
      <c r="J134" s="85">
        <v>1200</v>
      </c>
      <c r="K134" s="87">
        <f t="shared" si="15"/>
        <v>0</v>
      </c>
      <c r="L134" s="85">
        <v>1200</v>
      </c>
      <c r="M134" s="86">
        <f t="shared" si="16"/>
        <v>0</v>
      </c>
      <c r="N134" s="85">
        <v>1600</v>
      </c>
      <c r="O134" s="86">
        <f t="shared" si="16"/>
        <v>-400</v>
      </c>
      <c r="P134" s="85">
        <v>1600</v>
      </c>
      <c r="Q134" s="86">
        <f t="shared" si="19"/>
        <v>-400</v>
      </c>
      <c r="R134" s="62">
        <f>_xlfn.XLOOKUP(B134,'Data (TB)'!$A$6:$A$554,'Data (TB)'!$E$6:$E$554,0)/'Data (TB)'!$C$2*12</f>
        <v>2264.2933333333335</v>
      </c>
      <c r="S134" s="100">
        <f>SUMIFS(Chris!$G$5:$G$150,Chris!$A$5:$A$150,B134)</f>
        <v>2000</v>
      </c>
      <c r="T134" s="87">
        <f t="shared" si="12"/>
        <v>-264.29333333333352</v>
      </c>
      <c r="U134" s="100">
        <f>SUMIFS(Chris!$H$5:$H$150,Chris!$A$5:$A$150,B134)</f>
        <v>2000</v>
      </c>
      <c r="V134" s="86">
        <f t="shared" si="13"/>
        <v>264.29333333333352</v>
      </c>
      <c r="X134" s="1">
        <f>MATCH(B134,'Master Budget'!$G$4:$G$360,0)</f>
        <v>232</v>
      </c>
    </row>
    <row r="135" spans="1:24" x14ac:dyDescent="0.25">
      <c r="A135" s="1">
        <v>125</v>
      </c>
      <c r="B135" s="1" t="s">
        <v>635</v>
      </c>
      <c r="C135" s="1" t="s">
        <v>636</v>
      </c>
      <c r="D135" s="1">
        <f>_xlfn.XLOOKUP(B135,'Master Budget'!$G$4:$G$210,'Master Budget'!$D$4:$D$210,0)</f>
        <v>0</v>
      </c>
      <c r="E135" s="22">
        <v>35</v>
      </c>
      <c r="F135" s="84">
        <f>SUMIFS('Data (TB)'!$E$6:$E$524,'Data (TB)'!$A$6:$A$524,'Budget Worksheet'!B135)</f>
        <v>535.76</v>
      </c>
      <c r="G135" s="62">
        <f t="shared" si="24"/>
        <v>918.4457142857143</v>
      </c>
      <c r="H135" s="85">
        <v>1000</v>
      </c>
      <c r="I135" s="86">
        <f t="shared" si="14"/>
        <v>-81.554285714285697</v>
      </c>
      <c r="J135" s="85">
        <v>1200</v>
      </c>
      <c r="K135" s="87">
        <f t="shared" si="15"/>
        <v>-200</v>
      </c>
      <c r="L135" s="85">
        <v>1200</v>
      </c>
      <c r="M135" s="86">
        <f t="shared" si="16"/>
        <v>0</v>
      </c>
      <c r="N135" s="85">
        <v>1500</v>
      </c>
      <c r="O135" s="86">
        <f t="shared" si="16"/>
        <v>-300</v>
      </c>
      <c r="P135" s="85">
        <v>1500</v>
      </c>
      <c r="Q135" s="86">
        <f t="shared" si="19"/>
        <v>-300</v>
      </c>
      <c r="R135" s="62">
        <f>_xlfn.XLOOKUP(B135,'Data (TB)'!$A$6:$A$554,'Data (TB)'!$E$6:$E$554,0)/'Data (TB)'!$C$2*12</f>
        <v>714.34666666666658</v>
      </c>
      <c r="S135" s="100">
        <f>SUMIFS(Chris!$G$5:$G$150,Chris!$A$5:$A$150,B135)</f>
        <v>1500</v>
      </c>
      <c r="T135" s="87">
        <f t="shared" ref="T135:T198" si="25">ABS(S135)-ABS(R135)</f>
        <v>785.65333333333342</v>
      </c>
      <c r="U135" s="100">
        <f>SUMIFS(Chris!$H$5:$H$150,Chris!$A$5:$A$150,B135)</f>
        <v>1500</v>
      </c>
      <c r="V135" s="86">
        <f t="shared" ref="V135:V198" si="26">R135-U135</f>
        <v>-785.65333333333342</v>
      </c>
      <c r="X135" s="1">
        <f>MATCH(B135,'Master Budget'!$G$4:$G$360,0)</f>
        <v>234</v>
      </c>
    </row>
    <row r="136" spans="1:24" x14ac:dyDescent="0.25">
      <c r="A136" s="126">
        <v>126</v>
      </c>
      <c r="B136" s="126" t="s">
        <v>637</v>
      </c>
      <c r="C136" s="126" t="s">
        <v>162</v>
      </c>
      <c r="D136" s="126">
        <f>_xlfn.XLOOKUP(B136,'Master Budget'!$G$4:$G$210,'Master Budget'!$D$4:$D$210,0)</f>
        <v>0</v>
      </c>
      <c r="E136" s="127">
        <v>1180.06</v>
      </c>
      <c r="F136" s="128">
        <f>SUMIFS('Data (TB)'!$E$6:$E$524,'Data (TB)'!$A$6:$A$524,'Budget Worksheet'!B136)</f>
        <v>673.61</v>
      </c>
      <c r="G136" s="129">
        <f t="shared" si="24"/>
        <v>1154.76</v>
      </c>
      <c r="H136" s="130">
        <v>0</v>
      </c>
      <c r="I136" s="131">
        <f t="shared" si="14"/>
        <v>1154.76</v>
      </c>
      <c r="J136" s="130">
        <v>0</v>
      </c>
      <c r="K136" s="132">
        <f t="shared" si="15"/>
        <v>0</v>
      </c>
      <c r="L136" s="130">
        <v>0</v>
      </c>
      <c r="M136" s="132">
        <f t="shared" si="16"/>
        <v>0</v>
      </c>
      <c r="N136" s="130">
        <v>1000</v>
      </c>
      <c r="O136" s="132">
        <f t="shared" si="16"/>
        <v>-1000</v>
      </c>
      <c r="P136" s="130">
        <v>1000</v>
      </c>
      <c r="Q136" s="132">
        <f t="shared" si="19"/>
        <v>-1000</v>
      </c>
      <c r="R136" s="62">
        <f>_xlfn.XLOOKUP(B136,'Data (TB)'!$A$6:$A$554,'Data (TB)'!$E$6:$E$554,0)/'Data (TB)'!$C$2*12</f>
        <v>898.14666666666676</v>
      </c>
      <c r="S136" s="129">
        <f>SUMIFS(Chris!$G$5:$G$150,Chris!$A$5:$A$150,B136)</f>
        <v>1000</v>
      </c>
      <c r="T136" s="87">
        <f t="shared" si="25"/>
        <v>101.85333333333324</v>
      </c>
      <c r="U136" s="129">
        <f>SUMIFS(Chris!$H$5:$H$150,Chris!$A$5:$A$150,B136)</f>
        <v>1000</v>
      </c>
      <c r="V136" s="132">
        <f t="shared" si="26"/>
        <v>-101.85333333333324</v>
      </c>
      <c r="X136" s="1">
        <f>MATCH(B136,'Master Budget'!$G$4:$G$360,0)</f>
        <v>235</v>
      </c>
    </row>
    <row r="137" spans="1:24" x14ac:dyDescent="0.25">
      <c r="A137" s="1">
        <v>127</v>
      </c>
      <c r="B137" s="1" t="s">
        <v>638</v>
      </c>
      <c r="C137" s="1" t="s">
        <v>348</v>
      </c>
      <c r="D137" s="1">
        <f>_xlfn.XLOOKUP(B137,'Master Budget'!$G$4:$G$210,'Master Budget'!$D$4:$D$210,0)</f>
        <v>0</v>
      </c>
      <c r="E137" s="22">
        <v>1011.4</v>
      </c>
      <c r="F137" s="84">
        <f>SUMIFS('Data (TB)'!$E$6:$E$524,'Data (TB)'!$A$6:$A$524,'Budget Worksheet'!B137)</f>
        <v>429.79</v>
      </c>
      <c r="G137" s="62">
        <f t="shared" si="24"/>
        <v>736.78285714285721</v>
      </c>
      <c r="H137" s="85">
        <v>1300</v>
      </c>
      <c r="I137" s="86">
        <f t="shared" si="14"/>
        <v>-563.21714285714279</v>
      </c>
      <c r="J137" s="85">
        <v>1300</v>
      </c>
      <c r="K137" s="87">
        <f t="shared" si="15"/>
        <v>0</v>
      </c>
      <c r="L137" s="85">
        <v>1500</v>
      </c>
      <c r="M137" s="86">
        <f t="shared" si="16"/>
        <v>-200</v>
      </c>
      <c r="N137" s="85">
        <v>1500</v>
      </c>
      <c r="O137" s="86">
        <f t="shared" si="16"/>
        <v>0</v>
      </c>
      <c r="P137" s="85">
        <v>1500</v>
      </c>
      <c r="Q137" s="86">
        <f t="shared" si="19"/>
        <v>0</v>
      </c>
      <c r="R137" s="62">
        <f>_xlfn.XLOOKUP(B137,'Data (TB)'!$A$6:$A$554,'Data (TB)'!$E$6:$E$554,0)/'Data (TB)'!$C$2*12</f>
        <v>573.05333333333328</v>
      </c>
      <c r="S137" s="100">
        <f>SUMIFS(Chris!$G$5:$G$150,Chris!$A$5:$A$150,B137)</f>
        <v>2000</v>
      </c>
      <c r="T137" s="87">
        <f t="shared" si="25"/>
        <v>1426.9466666666667</v>
      </c>
      <c r="U137" s="100">
        <f>SUMIFS(Chris!$H$5:$H$150,Chris!$A$5:$A$150,B137)</f>
        <v>2000</v>
      </c>
      <c r="V137" s="86">
        <f t="shared" si="26"/>
        <v>-1426.9466666666667</v>
      </c>
      <c r="X137" s="1">
        <f>MATCH(B137,'Master Budget'!$G$4:$G$360,0)</f>
        <v>236</v>
      </c>
    </row>
    <row r="138" spans="1:24" x14ac:dyDescent="0.25">
      <c r="A138" s="1">
        <v>128</v>
      </c>
      <c r="B138" s="1" t="s">
        <v>639</v>
      </c>
      <c r="C138" s="1" t="s">
        <v>130</v>
      </c>
      <c r="D138" s="1">
        <f>_xlfn.XLOOKUP(B138,'Master Budget'!$G$4:$G$210,'Master Budget'!$D$4:$D$210,0)</f>
        <v>0</v>
      </c>
      <c r="E138" s="22">
        <v>12476.4</v>
      </c>
      <c r="F138" s="84">
        <f>SUMIFS('Data (TB)'!$E$6:$E$524,'Data (TB)'!$A$6:$A$524,'Budget Worksheet'!B138)</f>
        <v>16938.63</v>
      </c>
      <c r="G138" s="62">
        <f t="shared" si="24"/>
        <v>29037.651428571429</v>
      </c>
      <c r="H138" s="85">
        <v>40000</v>
      </c>
      <c r="I138" s="86">
        <f t="shared" si="14"/>
        <v>-10962.348571428571</v>
      </c>
      <c r="J138" s="85">
        <v>40000</v>
      </c>
      <c r="K138" s="87">
        <f t="shared" si="15"/>
        <v>0</v>
      </c>
      <c r="L138" s="85">
        <v>40000</v>
      </c>
      <c r="M138" s="86">
        <f t="shared" si="16"/>
        <v>0</v>
      </c>
      <c r="N138" s="85">
        <v>100000</v>
      </c>
      <c r="O138" s="86">
        <f t="shared" si="16"/>
        <v>-60000</v>
      </c>
      <c r="P138" s="85">
        <v>100000</v>
      </c>
      <c r="Q138" s="86">
        <f t="shared" si="19"/>
        <v>-60000</v>
      </c>
      <c r="R138" s="62">
        <f>_xlfn.XLOOKUP(B138,'Data (TB)'!$A$6:$A$554,'Data (TB)'!$E$6:$E$554,0)/'Data (TB)'!$C$2*12</f>
        <v>22584.840000000004</v>
      </c>
      <c r="S138" s="100">
        <f>SUMIFS(Chris!$G$5:$G$150,Chris!$A$5:$A$150,B138)</f>
        <v>100000</v>
      </c>
      <c r="T138" s="87">
        <f t="shared" si="25"/>
        <v>77415.16</v>
      </c>
      <c r="U138" s="100">
        <f>SUMIFS(Chris!$H$5:$H$150,Chris!$A$5:$A$150,B138)</f>
        <v>100000</v>
      </c>
      <c r="V138" s="86">
        <f t="shared" si="26"/>
        <v>-77415.16</v>
      </c>
      <c r="X138" s="1">
        <f>MATCH(B138,'Master Budget'!$G$4:$G$360,0)</f>
        <v>237</v>
      </c>
    </row>
    <row r="139" spans="1:24" x14ac:dyDescent="0.25">
      <c r="A139" s="1">
        <v>129</v>
      </c>
      <c r="B139" s="1" t="s">
        <v>640</v>
      </c>
      <c r="C139" s="1" t="s">
        <v>132</v>
      </c>
      <c r="D139" s="1">
        <f>_xlfn.XLOOKUP(B139,'Master Budget'!$G$4:$G$210,'Master Budget'!$D$4:$D$210,0)</f>
        <v>0</v>
      </c>
      <c r="E139" s="22">
        <v>182</v>
      </c>
      <c r="F139" s="84">
        <f>SUMIFS('Data (TB)'!$E$6:$E$524,'Data (TB)'!$A$6:$A$524,'Budget Worksheet'!B139)</f>
        <v>0</v>
      </c>
      <c r="G139" s="62">
        <f t="shared" si="24"/>
        <v>0</v>
      </c>
      <c r="H139" s="85">
        <v>0</v>
      </c>
      <c r="I139" s="86">
        <f t="shared" si="14"/>
        <v>0</v>
      </c>
      <c r="J139" s="85">
        <v>0</v>
      </c>
      <c r="K139" s="87">
        <f t="shared" si="15"/>
        <v>0</v>
      </c>
      <c r="L139" s="85">
        <v>0</v>
      </c>
      <c r="M139" s="86">
        <f t="shared" si="16"/>
        <v>0</v>
      </c>
      <c r="N139" s="85">
        <v>0</v>
      </c>
      <c r="O139" s="86">
        <f t="shared" si="16"/>
        <v>0</v>
      </c>
      <c r="P139" s="85">
        <v>0</v>
      </c>
      <c r="Q139" s="86">
        <f t="shared" si="19"/>
        <v>0</v>
      </c>
      <c r="R139" s="62">
        <f>_xlfn.XLOOKUP(B139,'Data (TB)'!$A$6:$A$554,'Data (TB)'!$E$6:$E$554,0)/'Data (TB)'!$C$2*12</f>
        <v>0</v>
      </c>
      <c r="S139" s="100">
        <f>SUMIFS(Chris!$G$5:$G$150,Chris!$A$5:$A$150,B139)</f>
        <v>0</v>
      </c>
      <c r="T139" s="87">
        <f t="shared" si="25"/>
        <v>0</v>
      </c>
      <c r="U139" s="100">
        <f>SUMIFS(Chris!$H$5:$H$150,Chris!$A$5:$A$150,B139)</f>
        <v>0</v>
      </c>
      <c r="V139" s="86">
        <f t="shared" si="26"/>
        <v>0</v>
      </c>
      <c r="X139" s="1">
        <f>MATCH(B139,'Master Budget'!$G$4:$G$360,0)</f>
        <v>247</v>
      </c>
    </row>
    <row r="140" spans="1:24" x14ac:dyDescent="0.25">
      <c r="A140" s="1">
        <v>130</v>
      </c>
      <c r="B140" s="1" t="s">
        <v>641</v>
      </c>
      <c r="C140" s="1" t="s">
        <v>642</v>
      </c>
      <c r="D140" s="1">
        <f>_xlfn.XLOOKUP(B140,'Master Budget'!$G$4:$G$210,'Master Budget'!$D$4:$D$210,0)</f>
        <v>0</v>
      </c>
      <c r="E140" s="22">
        <v>8088.63</v>
      </c>
      <c r="F140" s="84">
        <f>SUMIFS('Data (TB)'!$E$6:$E$524,'Data (TB)'!$A$6:$A$524,'Budget Worksheet'!B140)</f>
        <v>4105.51</v>
      </c>
      <c r="G140" s="62">
        <f t="shared" si="24"/>
        <v>7038.017142857143</v>
      </c>
      <c r="H140" s="85">
        <v>8500</v>
      </c>
      <c r="I140" s="86">
        <f t="shared" si="14"/>
        <v>-1461.982857142857</v>
      </c>
      <c r="J140" s="85">
        <v>14000</v>
      </c>
      <c r="K140" s="87">
        <f t="shared" si="15"/>
        <v>-5500</v>
      </c>
      <c r="L140" s="85">
        <v>14000</v>
      </c>
      <c r="M140" s="86">
        <f t="shared" si="16"/>
        <v>0</v>
      </c>
      <c r="N140" s="85">
        <v>14000</v>
      </c>
      <c r="O140" s="86">
        <f t="shared" si="16"/>
        <v>0</v>
      </c>
      <c r="P140" s="85">
        <v>14000</v>
      </c>
      <c r="Q140" s="86">
        <f t="shared" si="19"/>
        <v>0</v>
      </c>
      <c r="R140" s="62">
        <f>_xlfn.XLOOKUP(B140,'Data (TB)'!$A$6:$A$554,'Data (TB)'!$E$6:$E$554,0)/'Data (TB)'!$C$2*12</f>
        <v>5474.0133333333342</v>
      </c>
      <c r="S140" s="100">
        <f>SUMIFS(Chris!$G$5:$G$150,Chris!$A$5:$A$150,B140)</f>
        <v>14000</v>
      </c>
      <c r="T140" s="87">
        <f t="shared" si="25"/>
        <v>8525.9866666666658</v>
      </c>
      <c r="U140" s="100">
        <f>SUMIFS(Chris!$H$5:$H$150,Chris!$A$5:$A$150,B140)</f>
        <v>14000</v>
      </c>
      <c r="V140" s="86">
        <f t="shared" si="26"/>
        <v>-8525.9866666666658</v>
      </c>
      <c r="X140" s="1">
        <f>MATCH(B140,'Master Budget'!$G$4:$G$360,0)</f>
        <v>238</v>
      </c>
    </row>
    <row r="141" spans="1:24" x14ac:dyDescent="0.25">
      <c r="A141" s="1">
        <v>131</v>
      </c>
      <c r="B141" s="1" t="s">
        <v>643</v>
      </c>
      <c r="C141" s="1" t="s">
        <v>644</v>
      </c>
      <c r="D141" s="1">
        <f>_xlfn.XLOOKUP(B141,'Master Budget'!$G$4:$G$210,'Master Budget'!$D$4:$D$210,0)</f>
        <v>0</v>
      </c>
      <c r="E141" s="22">
        <v>0</v>
      </c>
      <c r="F141" s="84">
        <f>SUMIFS('Data (TB)'!$E$6:$E$524,'Data (TB)'!$A$6:$A$524,'Budget Worksheet'!B141)</f>
        <v>0</v>
      </c>
      <c r="G141" s="62">
        <f t="shared" si="24"/>
        <v>0</v>
      </c>
      <c r="H141" s="85">
        <v>1000</v>
      </c>
      <c r="I141" s="86">
        <f t="shared" si="14"/>
        <v>-1000</v>
      </c>
      <c r="J141" s="85">
        <v>1000</v>
      </c>
      <c r="K141" s="87">
        <f t="shared" si="15"/>
        <v>0</v>
      </c>
      <c r="L141" s="85">
        <v>1000</v>
      </c>
      <c r="M141" s="86">
        <f t="shared" si="16"/>
        <v>0</v>
      </c>
      <c r="N141" s="85">
        <v>1000</v>
      </c>
      <c r="O141" s="86">
        <f t="shared" si="16"/>
        <v>0</v>
      </c>
      <c r="P141" s="85">
        <v>1000</v>
      </c>
      <c r="Q141" s="86">
        <f t="shared" si="19"/>
        <v>0</v>
      </c>
      <c r="R141" s="62">
        <f>_xlfn.XLOOKUP(B141,'Data (TB)'!$A$6:$A$554,'Data (TB)'!$E$6:$E$554,0)/'Data (TB)'!$C$2*12</f>
        <v>0</v>
      </c>
      <c r="S141" s="100">
        <f>SUMIFS(Chris!$G$5:$G$150,Chris!$A$5:$A$150,B141)</f>
        <v>1000</v>
      </c>
      <c r="T141" s="87">
        <f t="shared" si="25"/>
        <v>1000</v>
      </c>
      <c r="U141" s="100">
        <f>SUMIFS(Chris!$H$5:$H$150,Chris!$A$5:$A$150,B141)</f>
        <v>7000</v>
      </c>
      <c r="V141" s="86">
        <f t="shared" si="26"/>
        <v>-7000</v>
      </c>
      <c r="X141" s="1">
        <f>MATCH(B141,'Master Budget'!$G$4:$G$360,0)</f>
        <v>239</v>
      </c>
    </row>
    <row r="142" spans="1:24" x14ac:dyDescent="0.25">
      <c r="A142" s="1">
        <v>132</v>
      </c>
      <c r="B142" s="1" t="s">
        <v>645</v>
      </c>
      <c r="C142" s="1" t="s">
        <v>646</v>
      </c>
      <c r="D142" s="1">
        <f>_xlfn.XLOOKUP(B142,'Master Budget'!$G$4:$G$210,'Master Budget'!$D$4:$D$210,0)</f>
        <v>0</v>
      </c>
      <c r="E142" s="22">
        <v>3356.11</v>
      </c>
      <c r="F142" s="84">
        <f>SUMIFS('Data (TB)'!$E$6:$E$524,'Data (TB)'!$A$6:$A$524,'Budget Worksheet'!B142)</f>
        <v>1844.07</v>
      </c>
      <c r="G142" s="62">
        <f t="shared" si="24"/>
        <v>3161.2628571428572</v>
      </c>
      <c r="H142" s="85">
        <v>4000</v>
      </c>
      <c r="I142" s="86">
        <f t="shared" si="14"/>
        <v>-838.73714285714277</v>
      </c>
      <c r="J142" s="85">
        <v>4000</v>
      </c>
      <c r="K142" s="87">
        <f t="shared" si="15"/>
        <v>0</v>
      </c>
      <c r="L142" s="85">
        <v>4000</v>
      </c>
      <c r="M142" s="86">
        <f t="shared" si="16"/>
        <v>0</v>
      </c>
      <c r="N142" s="85">
        <v>4000</v>
      </c>
      <c r="O142" s="86">
        <f t="shared" si="16"/>
        <v>0</v>
      </c>
      <c r="P142" s="85">
        <v>4000</v>
      </c>
      <c r="Q142" s="86">
        <f t="shared" si="19"/>
        <v>0</v>
      </c>
      <c r="R142" s="62">
        <f>_xlfn.XLOOKUP(B142,'Data (TB)'!$A$6:$A$554,'Data (TB)'!$E$6:$E$554,0)/'Data (TB)'!$C$2*12</f>
        <v>2458.7599999999998</v>
      </c>
      <c r="S142" s="100">
        <f>SUMIFS(Chris!$G$5:$G$150,Chris!$A$5:$A$150,B142)</f>
        <v>4000</v>
      </c>
      <c r="T142" s="87">
        <f t="shared" si="25"/>
        <v>1541.2400000000002</v>
      </c>
      <c r="U142" s="100">
        <f>SUMIFS(Chris!$H$5:$H$150,Chris!$A$5:$A$150,B142)</f>
        <v>4000</v>
      </c>
      <c r="V142" s="86">
        <f t="shared" si="26"/>
        <v>-1541.2400000000002</v>
      </c>
      <c r="X142" s="1">
        <f>MATCH(B142,'Master Budget'!$G$4:$G$360,0)</f>
        <v>240</v>
      </c>
    </row>
    <row r="143" spans="1:24" x14ac:dyDescent="0.25">
      <c r="A143" s="1">
        <v>133</v>
      </c>
      <c r="B143" s="1" t="s">
        <v>647</v>
      </c>
      <c r="C143" s="1" t="s">
        <v>303</v>
      </c>
      <c r="D143" s="1">
        <f>_xlfn.XLOOKUP(B143,'Master Budget'!$G$4:$G$210,'Master Budget'!$D$4:$D$210,0)</f>
        <v>0</v>
      </c>
      <c r="E143" s="22">
        <v>0</v>
      </c>
      <c r="F143" s="84">
        <f>SUMIFS('Data (TB)'!$E$6:$E$524,'Data (TB)'!$A$6:$A$524,'Budget Worksheet'!B143)</f>
        <v>0</v>
      </c>
      <c r="G143" s="62">
        <f t="shared" si="24"/>
        <v>0</v>
      </c>
      <c r="H143" s="85">
        <v>0</v>
      </c>
      <c r="I143" s="86">
        <f t="shared" si="14"/>
        <v>0</v>
      </c>
      <c r="J143" s="85">
        <v>0</v>
      </c>
      <c r="K143" s="87">
        <f t="shared" si="15"/>
        <v>0</v>
      </c>
      <c r="L143" s="85">
        <v>0</v>
      </c>
      <c r="M143" s="86">
        <f t="shared" si="16"/>
        <v>0</v>
      </c>
      <c r="N143" s="85">
        <v>0</v>
      </c>
      <c r="O143" s="86">
        <f t="shared" si="16"/>
        <v>0</v>
      </c>
      <c r="P143" s="85">
        <v>0</v>
      </c>
      <c r="Q143" s="86">
        <f t="shared" si="19"/>
        <v>0</v>
      </c>
      <c r="R143" s="62">
        <f>_xlfn.XLOOKUP(B143,'Data (TB)'!$A$6:$A$554,'Data (TB)'!$E$6:$E$554,0)/'Data (TB)'!$C$2*12</f>
        <v>0</v>
      </c>
      <c r="S143" s="100">
        <f>SUMIFS(Chris!$G$5:$G$150,Chris!$A$5:$A$150,B143)</f>
        <v>0</v>
      </c>
      <c r="T143" s="87">
        <f t="shared" si="25"/>
        <v>0</v>
      </c>
      <c r="U143" s="100">
        <f>SUMIFS(Chris!$H$5:$H$150,Chris!$A$5:$A$150,B143)</f>
        <v>0</v>
      </c>
      <c r="V143" s="86">
        <f t="shared" si="26"/>
        <v>0</v>
      </c>
      <c r="X143" s="1" t="e">
        <f>MATCH(B143,'Master Budget'!$G$4:$G$360,0)</f>
        <v>#N/A</v>
      </c>
    </row>
    <row r="144" spans="1:24" x14ac:dyDescent="0.25">
      <c r="A144" s="1">
        <v>134</v>
      </c>
      <c r="B144" s="1" t="s">
        <v>648</v>
      </c>
      <c r="C144" s="1" t="s">
        <v>432</v>
      </c>
      <c r="D144" s="1">
        <f>_xlfn.XLOOKUP(B144,'Master Budget'!$G$4:$G$210,'Master Budget'!$D$4:$D$210,0)</f>
        <v>0</v>
      </c>
      <c r="E144" s="22">
        <v>78883.63</v>
      </c>
      <c r="F144" s="84">
        <f>SUMIFS('Data (TB)'!$E$6:$E$524,'Data (TB)'!$A$6:$A$524,'Budget Worksheet'!B144)</f>
        <v>16574.21</v>
      </c>
      <c r="G144" s="62">
        <f t="shared" si="24"/>
        <v>28412.931428571428</v>
      </c>
      <c r="H144" s="85">
        <v>35000</v>
      </c>
      <c r="I144" s="86">
        <f t="shared" ref="I144:I210" si="27">-H144+G144</f>
        <v>-6587.0685714285719</v>
      </c>
      <c r="J144" s="85">
        <v>35000</v>
      </c>
      <c r="K144" s="87">
        <f t="shared" ref="K144:K210" si="28">ROUND(H144-J144,0)</f>
        <v>0</v>
      </c>
      <c r="L144" s="85">
        <v>35000</v>
      </c>
      <c r="M144" s="86">
        <f t="shared" ref="M144:O210" si="29">J144-L144</f>
        <v>0</v>
      </c>
      <c r="N144" s="85">
        <v>35000</v>
      </c>
      <c r="O144" s="86">
        <f t="shared" si="29"/>
        <v>0</v>
      </c>
      <c r="P144" s="85">
        <v>35000</v>
      </c>
      <c r="Q144" s="86">
        <f t="shared" ref="Q144:Q175" si="30">L144-P144</f>
        <v>0</v>
      </c>
      <c r="R144" s="62">
        <f>_xlfn.XLOOKUP(B144,'Data (TB)'!$A$6:$A$554,'Data (TB)'!$E$6:$E$554,0)/'Data (TB)'!$C$2*12</f>
        <v>22098.946666666663</v>
      </c>
      <c r="S144" s="100">
        <f>SUMIFS(Chris!$G$5:$G$150,Chris!$A$5:$A$150,B144)</f>
        <v>45000</v>
      </c>
      <c r="T144" s="87">
        <f t="shared" si="25"/>
        <v>22901.053333333337</v>
      </c>
      <c r="U144" s="100">
        <f>SUMIFS(Chris!$H$5:$H$150,Chris!$A$5:$A$150,B144)</f>
        <v>45000</v>
      </c>
      <c r="V144" s="86">
        <f t="shared" si="26"/>
        <v>-22901.053333333337</v>
      </c>
      <c r="X144" s="1">
        <f>MATCH(B144,'Master Budget'!$G$4:$G$360,0)</f>
        <v>241</v>
      </c>
    </row>
    <row r="145" spans="1:24" x14ac:dyDescent="0.25">
      <c r="A145" s="1">
        <v>135</v>
      </c>
      <c r="B145" s="1" t="s">
        <v>649</v>
      </c>
      <c r="C145" s="1" t="s">
        <v>650</v>
      </c>
      <c r="D145" s="1">
        <f>_xlfn.XLOOKUP(B145,'Master Budget'!$G$4:$G$210,'Master Budget'!$D$4:$D$210,0)</f>
        <v>0</v>
      </c>
      <c r="E145" s="22">
        <v>16034.5</v>
      </c>
      <c r="F145" s="84">
        <f>SUMIFS('Data (TB)'!$E$6:$E$524,'Data (TB)'!$A$6:$A$524,'Budget Worksheet'!B145)</f>
        <v>45424.09</v>
      </c>
      <c r="G145" s="62">
        <f t="shared" si="24"/>
        <v>77869.868571428568</v>
      </c>
      <c r="H145" s="85">
        <v>60000</v>
      </c>
      <c r="I145" s="103">
        <f t="shared" si="27"/>
        <v>17869.868571428568</v>
      </c>
      <c r="J145" s="85">
        <v>60000</v>
      </c>
      <c r="K145" s="87">
        <f t="shared" si="28"/>
        <v>0</v>
      </c>
      <c r="L145" s="85">
        <v>60000</v>
      </c>
      <c r="M145" s="86">
        <f t="shared" si="29"/>
        <v>0</v>
      </c>
      <c r="N145" s="85">
        <v>60000</v>
      </c>
      <c r="O145" s="86">
        <f t="shared" si="29"/>
        <v>0</v>
      </c>
      <c r="P145" s="85">
        <v>60000</v>
      </c>
      <c r="Q145" s="86">
        <f t="shared" si="30"/>
        <v>0</v>
      </c>
      <c r="R145" s="62">
        <f>_xlfn.XLOOKUP(B145,'Data (TB)'!$A$6:$A$554,'Data (TB)'!$E$6:$E$554,0)/'Data (TB)'!$C$2*12</f>
        <v>60565.453333333324</v>
      </c>
      <c r="S145" s="100">
        <f>SUMIFS(Chris!$G$5:$G$150,Chris!$A$5:$A$150,B145)</f>
        <v>60000</v>
      </c>
      <c r="T145" s="87">
        <f t="shared" si="25"/>
        <v>-565.45333333332383</v>
      </c>
      <c r="U145" s="100">
        <f>SUMIFS(Chris!$H$5:$H$150,Chris!$A$5:$A$150,B145)</f>
        <v>60000</v>
      </c>
      <c r="V145" s="86">
        <f t="shared" si="26"/>
        <v>565.45333333332383</v>
      </c>
      <c r="X145" s="1">
        <f>MATCH(B145,'Master Budget'!$G$4:$G$360,0)</f>
        <v>242</v>
      </c>
    </row>
    <row r="146" spans="1:24" x14ac:dyDescent="0.25">
      <c r="A146" s="1">
        <v>136</v>
      </c>
      <c r="B146" s="1" t="s">
        <v>651</v>
      </c>
      <c r="C146" s="1" t="s">
        <v>652</v>
      </c>
      <c r="D146" s="1">
        <f>_xlfn.XLOOKUP(B146,'Master Budget'!$G$4:$G$210,'Master Budget'!$D$4:$D$210,0)</f>
        <v>0</v>
      </c>
      <c r="E146" s="22">
        <v>0</v>
      </c>
      <c r="F146" s="84">
        <f>SUMIFS('Data (TB)'!$E$6:$E$524,'Data (TB)'!$A$6:$A$524,'Budget Worksheet'!B146)</f>
        <v>0</v>
      </c>
      <c r="G146" s="62">
        <f t="shared" si="24"/>
        <v>0</v>
      </c>
      <c r="H146" s="85">
        <v>0</v>
      </c>
      <c r="I146" s="86">
        <f t="shared" si="27"/>
        <v>0</v>
      </c>
      <c r="J146" s="85">
        <v>0</v>
      </c>
      <c r="K146" s="87">
        <f t="shared" si="28"/>
        <v>0</v>
      </c>
      <c r="L146" s="85">
        <v>0</v>
      </c>
      <c r="M146" s="86">
        <f t="shared" si="29"/>
        <v>0</v>
      </c>
      <c r="N146" s="85">
        <v>0</v>
      </c>
      <c r="O146" s="86">
        <f t="shared" si="29"/>
        <v>0</v>
      </c>
      <c r="P146" s="85">
        <v>0</v>
      </c>
      <c r="Q146" s="86">
        <f t="shared" si="30"/>
        <v>0</v>
      </c>
      <c r="R146" s="62">
        <f>_xlfn.XLOOKUP(B146,'Data (TB)'!$A$6:$A$554,'Data (TB)'!$E$6:$E$554,0)/'Data (TB)'!$C$2*12</f>
        <v>0</v>
      </c>
      <c r="S146" s="100">
        <f>SUMIFS(Chris!$G$5:$G$150,Chris!$A$5:$A$150,B146)</f>
        <v>0</v>
      </c>
      <c r="T146" s="87">
        <f t="shared" si="25"/>
        <v>0</v>
      </c>
      <c r="U146" s="100">
        <f>SUMIFS(Chris!$H$5:$H$150,Chris!$A$5:$A$150,B146)</f>
        <v>0</v>
      </c>
      <c r="V146" s="86">
        <f t="shared" si="26"/>
        <v>0</v>
      </c>
      <c r="X146" s="1">
        <f>MATCH(B146,'Master Budget'!$G$4:$G$360,0)</f>
        <v>243</v>
      </c>
    </row>
    <row r="147" spans="1:24" x14ac:dyDescent="0.25">
      <c r="A147" s="1">
        <v>137</v>
      </c>
      <c r="B147" s="1" t="s">
        <v>653</v>
      </c>
      <c r="C147" s="1" t="s">
        <v>654</v>
      </c>
      <c r="D147" s="1">
        <f>_xlfn.XLOOKUP(B147,'Master Budget'!$G$4:$G$210,'Master Budget'!$D$4:$D$210,0)</f>
        <v>0</v>
      </c>
      <c r="E147" s="22">
        <v>6521</v>
      </c>
      <c r="F147" s="84">
        <f>SUMIFS('Data (TB)'!$E$6:$E$524,'Data (TB)'!$A$6:$A$524,'Budget Worksheet'!B147)</f>
        <v>14203.59</v>
      </c>
      <c r="G147" s="62">
        <f t="shared" si="24"/>
        <v>24349.01142857143</v>
      </c>
      <c r="H147" s="85">
        <v>5712</v>
      </c>
      <c r="I147" s="86">
        <f t="shared" si="27"/>
        <v>18637.01142857143</v>
      </c>
      <c r="J147" s="85">
        <v>5712</v>
      </c>
      <c r="K147" s="87">
        <f t="shared" si="28"/>
        <v>0</v>
      </c>
      <c r="L147" s="85">
        <v>5712</v>
      </c>
      <c r="M147" s="86">
        <f t="shared" si="29"/>
        <v>0</v>
      </c>
      <c r="N147" s="85">
        <v>6500</v>
      </c>
      <c r="O147" s="86">
        <f t="shared" si="29"/>
        <v>-788</v>
      </c>
      <c r="P147" s="85">
        <v>8000</v>
      </c>
      <c r="Q147" s="86">
        <f t="shared" si="30"/>
        <v>-2288</v>
      </c>
      <c r="R147" s="62">
        <f>_xlfn.XLOOKUP(B147,'Data (TB)'!$A$6:$A$554,'Data (TB)'!$E$6:$E$554,0)/'Data (TB)'!$C$2*12</f>
        <v>18938.120000000003</v>
      </c>
      <c r="S147" s="100">
        <f>SUMIFS(Chris!$G$5:$G$150,Chris!$A$5:$A$150,B147)</f>
        <v>22000</v>
      </c>
      <c r="T147" s="87">
        <f t="shared" si="25"/>
        <v>3061.8799999999974</v>
      </c>
      <c r="U147" s="100">
        <f>SUMIFS(Chris!$H$5:$H$150,Chris!$A$5:$A$150,B147)</f>
        <v>22000</v>
      </c>
      <c r="V147" s="86">
        <f t="shared" si="26"/>
        <v>-3061.8799999999974</v>
      </c>
      <c r="X147" s="1">
        <f>MATCH(B147,'Master Budget'!$G$4:$G$360,0)</f>
        <v>244</v>
      </c>
    </row>
    <row r="148" spans="1:24" x14ac:dyDescent="0.25">
      <c r="A148" s="1">
        <v>138</v>
      </c>
      <c r="B148" s="1" t="s">
        <v>655</v>
      </c>
      <c r="C148" s="1" t="s">
        <v>656</v>
      </c>
      <c r="D148" s="1">
        <f>_xlfn.XLOOKUP(B148,'Master Budget'!$G$4:$G$210,'Master Budget'!$D$4:$D$210,0)</f>
        <v>0</v>
      </c>
      <c r="E148" s="22">
        <v>0</v>
      </c>
      <c r="F148" s="84">
        <f>SUMIFS('Data (TB)'!$E$6:$E$524,'Data (TB)'!$A$6:$A$524,'Budget Worksheet'!B148)</f>
        <v>0</v>
      </c>
      <c r="G148" s="62">
        <f t="shared" si="24"/>
        <v>0</v>
      </c>
      <c r="H148" s="85">
        <v>0</v>
      </c>
      <c r="I148" s="86">
        <f t="shared" si="27"/>
        <v>0</v>
      </c>
      <c r="J148" s="85">
        <v>0</v>
      </c>
      <c r="K148" s="87">
        <f t="shared" si="28"/>
        <v>0</v>
      </c>
      <c r="L148" s="85">
        <v>0</v>
      </c>
      <c r="M148" s="86">
        <f t="shared" si="29"/>
        <v>0</v>
      </c>
      <c r="N148" s="85">
        <v>0</v>
      </c>
      <c r="O148" s="86">
        <f t="shared" si="29"/>
        <v>0</v>
      </c>
      <c r="P148" s="85">
        <v>0</v>
      </c>
      <c r="Q148" s="86">
        <f t="shared" si="30"/>
        <v>0</v>
      </c>
      <c r="R148" s="62">
        <f>_xlfn.XLOOKUP(B148,'Data (TB)'!$A$6:$A$554,'Data (TB)'!$E$6:$E$554,0)/'Data (TB)'!$C$2*12</f>
        <v>0</v>
      </c>
      <c r="S148" s="100">
        <f>SUMIFS(Chris!$G$5:$G$150,Chris!$A$5:$A$150,B148)</f>
        <v>0</v>
      </c>
      <c r="T148" s="87">
        <f t="shared" si="25"/>
        <v>0</v>
      </c>
      <c r="U148" s="100">
        <f>SUMIFS(Chris!$H$5:$H$150,Chris!$A$5:$A$150,B148)</f>
        <v>45000</v>
      </c>
      <c r="V148" s="86">
        <f t="shared" si="26"/>
        <v>-45000</v>
      </c>
      <c r="X148" s="1" t="e">
        <f>MATCH(B148,'Master Budget'!$G$4:$G$360,0)</f>
        <v>#N/A</v>
      </c>
    </row>
    <row r="149" spans="1:24" x14ac:dyDescent="0.25">
      <c r="A149" s="1">
        <v>139</v>
      </c>
      <c r="B149" s="1" t="s">
        <v>657</v>
      </c>
      <c r="C149" s="1" t="s">
        <v>658</v>
      </c>
      <c r="D149" s="1">
        <f>_xlfn.XLOOKUP(B149,'Master Budget'!$G$4:$G$210,'Master Budget'!$D$4:$D$210,0)</f>
        <v>0</v>
      </c>
      <c r="E149" s="22">
        <v>0</v>
      </c>
      <c r="F149" s="84">
        <f>SUMIFS('Data (TB)'!$E$6:$E$524,'Data (TB)'!$A$6:$A$524,'Budget Worksheet'!B149)</f>
        <v>5515</v>
      </c>
      <c r="G149" s="62">
        <f t="shared" si="24"/>
        <v>9454.2857142857138</v>
      </c>
      <c r="H149" s="85">
        <v>2500</v>
      </c>
      <c r="I149" s="86">
        <f t="shared" si="27"/>
        <v>6954.2857142857138</v>
      </c>
      <c r="J149" s="85">
        <v>2500</v>
      </c>
      <c r="K149" s="87">
        <f t="shared" si="28"/>
        <v>0</v>
      </c>
      <c r="L149" s="85">
        <v>2500</v>
      </c>
      <c r="M149" s="86">
        <f t="shared" si="29"/>
        <v>0</v>
      </c>
      <c r="N149" s="85">
        <v>6500</v>
      </c>
      <c r="O149" s="86">
        <f t="shared" si="29"/>
        <v>-4000</v>
      </c>
      <c r="P149" s="85">
        <v>6500</v>
      </c>
      <c r="Q149" s="86">
        <f t="shared" si="30"/>
        <v>-4000</v>
      </c>
      <c r="R149" s="62">
        <f>_xlfn.XLOOKUP(B149,'Data (TB)'!$A$6:$A$554,'Data (TB)'!$E$6:$E$554,0)/'Data (TB)'!$C$2*12</f>
        <v>7353.3333333333339</v>
      </c>
      <c r="S149" s="100">
        <f>SUMIFS(Chris!$G$5:$G$150,Chris!$A$5:$A$150,B149)</f>
        <v>6500</v>
      </c>
      <c r="T149" s="87">
        <f t="shared" si="25"/>
        <v>-853.33333333333394</v>
      </c>
      <c r="U149" s="100">
        <f>SUMIFS(Chris!$H$5:$H$150,Chris!$A$5:$A$150,B149)</f>
        <v>6500</v>
      </c>
      <c r="V149" s="86">
        <f t="shared" si="26"/>
        <v>853.33333333333394</v>
      </c>
      <c r="X149" s="1">
        <f>MATCH(B149,'Master Budget'!$G$4:$G$360,0)</f>
        <v>245</v>
      </c>
    </row>
    <row r="150" spans="1:24" x14ac:dyDescent="0.25">
      <c r="A150" s="1">
        <v>140</v>
      </c>
      <c r="B150" s="1" t="s">
        <v>659</v>
      </c>
      <c r="C150" s="1" t="s">
        <v>537</v>
      </c>
      <c r="D150" s="1">
        <f>_xlfn.XLOOKUP(B150,'Master Budget'!$G$4:$G$210,'Master Budget'!$D$4:$D$210,0)</f>
        <v>0</v>
      </c>
      <c r="E150" s="22">
        <v>398.46</v>
      </c>
      <c r="F150" s="84">
        <f>SUMIFS('Data (TB)'!$E$6:$E$524,'Data (TB)'!$A$6:$A$524,'Budget Worksheet'!B150)</f>
        <v>17343.84</v>
      </c>
      <c r="G150" s="62">
        <f t="shared" si="24"/>
        <v>29732.297142857147</v>
      </c>
      <c r="H150" s="85">
        <v>2800</v>
      </c>
      <c r="I150" s="86">
        <f t="shared" si="27"/>
        <v>26932.297142857147</v>
      </c>
      <c r="J150" s="85">
        <v>2800</v>
      </c>
      <c r="K150" s="87">
        <f t="shared" si="28"/>
        <v>0</v>
      </c>
      <c r="L150" s="85">
        <v>2800</v>
      </c>
      <c r="M150" s="86">
        <f t="shared" si="29"/>
        <v>0</v>
      </c>
      <c r="N150" s="85">
        <v>2800</v>
      </c>
      <c r="O150" s="86">
        <f t="shared" si="29"/>
        <v>0</v>
      </c>
      <c r="P150" s="85">
        <v>60000</v>
      </c>
      <c r="Q150" s="86">
        <f t="shared" si="30"/>
        <v>-57200</v>
      </c>
      <c r="R150" s="62">
        <f>_xlfn.XLOOKUP(B150,'Data (TB)'!$A$6:$A$554,'Data (TB)'!$E$6:$E$554,0)/'Data (TB)'!$C$2*12</f>
        <v>23125.119999999999</v>
      </c>
      <c r="S150" s="100">
        <f>SUMIFS(Chris!$G$5:$G$150,Chris!$A$5:$A$150,B150)</f>
        <v>60000</v>
      </c>
      <c r="T150" s="87">
        <f t="shared" si="25"/>
        <v>36874.880000000005</v>
      </c>
      <c r="U150" s="100">
        <f>SUMIFS(Chris!$H$5:$H$150,Chris!$A$5:$A$150,B150)</f>
        <v>60000</v>
      </c>
      <c r="V150" s="86">
        <f t="shared" si="26"/>
        <v>-36874.880000000005</v>
      </c>
      <c r="X150" s="1">
        <f>MATCH(B150,'Master Budget'!$G$4:$G$360,0)</f>
        <v>246</v>
      </c>
    </row>
    <row r="151" spans="1:24" x14ac:dyDescent="0.25">
      <c r="A151" s="1">
        <v>141</v>
      </c>
      <c r="B151" s="1" t="s">
        <v>660</v>
      </c>
      <c r="C151" s="1" t="s">
        <v>661</v>
      </c>
      <c r="D151" s="1">
        <f>_xlfn.XLOOKUP(B151,'Master Budget'!$G$4:$G$210,'Master Budget'!$D$4:$D$210,0)</f>
        <v>0</v>
      </c>
      <c r="E151" s="22">
        <v>0</v>
      </c>
      <c r="F151" s="84">
        <f>SUMIFS('Data (TB)'!$E$6:$E$524,'Data (TB)'!$A$6:$A$524,'Budget Worksheet'!B151)</f>
        <v>0</v>
      </c>
      <c r="G151" s="62">
        <f t="shared" si="24"/>
        <v>0</v>
      </c>
      <c r="H151" s="85">
        <v>0</v>
      </c>
      <c r="I151" s="86">
        <f t="shared" si="27"/>
        <v>0</v>
      </c>
      <c r="J151" s="85">
        <v>0</v>
      </c>
      <c r="K151" s="87">
        <f t="shared" si="28"/>
        <v>0</v>
      </c>
      <c r="L151" s="85">
        <v>0</v>
      </c>
      <c r="M151" s="86">
        <f t="shared" si="29"/>
        <v>0</v>
      </c>
      <c r="N151" s="85">
        <v>0</v>
      </c>
      <c r="O151" s="86">
        <f t="shared" si="29"/>
        <v>0</v>
      </c>
      <c r="P151" s="85">
        <v>0</v>
      </c>
      <c r="Q151" s="86">
        <f t="shared" si="30"/>
        <v>0</v>
      </c>
      <c r="R151" s="62">
        <f>_xlfn.XLOOKUP(B151,'Data (TB)'!$A$6:$A$554,'Data (TB)'!$E$6:$E$554,0)/'Data (TB)'!$C$2*12</f>
        <v>0</v>
      </c>
      <c r="S151" s="100">
        <f>SUMIFS(Chris!$G$5:$G$150,Chris!$A$5:$A$150,B151)</f>
        <v>0</v>
      </c>
      <c r="T151" s="87">
        <f t="shared" si="25"/>
        <v>0</v>
      </c>
      <c r="U151" s="100">
        <f>SUMIFS(Chris!$H$5:$H$150,Chris!$A$5:$A$150,B151)</f>
        <v>0</v>
      </c>
      <c r="V151" s="86">
        <f t="shared" si="26"/>
        <v>0</v>
      </c>
      <c r="X151" s="1" t="e">
        <f>MATCH(B151,'Master Budget'!$G$4:$G$360,0)</f>
        <v>#N/A</v>
      </c>
    </row>
    <row r="152" spans="1:24" x14ac:dyDescent="0.25">
      <c r="A152" s="1">
        <v>142</v>
      </c>
      <c r="B152" s="1" t="s">
        <v>662</v>
      </c>
      <c r="C152" s="1" t="s">
        <v>663</v>
      </c>
      <c r="D152" s="1">
        <f>_xlfn.XLOOKUP(B152,'Master Budget'!$G$4:$G$210,'Master Budget'!$D$4:$D$210,0)</f>
        <v>0</v>
      </c>
      <c r="E152" s="22">
        <v>0</v>
      </c>
      <c r="F152" s="84">
        <f>SUMIFS('Data (TB)'!$E$6:$E$524,'Data (TB)'!$A$6:$A$524,'Budget Worksheet'!B152)</f>
        <v>0</v>
      </c>
      <c r="G152" s="62">
        <f t="shared" si="24"/>
        <v>0</v>
      </c>
      <c r="H152" s="85">
        <v>0</v>
      </c>
      <c r="I152" s="86">
        <f t="shared" si="27"/>
        <v>0</v>
      </c>
      <c r="J152" s="85">
        <v>0</v>
      </c>
      <c r="K152" s="87">
        <f t="shared" si="28"/>
        <v>0</v>
      </c>
      <c r="L152" s="85">
        <v>0</v>
      </c>
      <c r="M152" s="86">
        <f t="shared" si="29"/>
        <v>0</v>
      </c>
      <c r="N152" s="85">
        <v>0</v>
      </c>
      <c r="O152" s="86">
        <f t="shared" si="29"/>
        <v>0</v>
      </c>
      <c r="P152" s="85">
        <v>0</v>
      </c>
      <c r="Q152" s="86">
        <f t="shared" si="30"/>
        <v>0</v>
      </c>
      <c r="R152" s="62">
        <f>_xlfn.XLOOKUP(B152,'Data (TB)'!$A$6:$A$554,'Data (TB)'!$E$6:$E$554,0)/'Data (TB)'!$C$2*12</f>
        <v>0</v>
      </c>
      <c r="S152" s="100">
        <f>SUMIFS(Chris!$G$5:$G$150,Chris!$A$5:$A$150,B152)</f>
        <v>0</v>
      </c>
      <c r="T152" s="87">
        <f t="shared" si="25"/>
        <v>0</v>
      </c>
      <c r="U152" s="100">
        <f>SUMIFS(Chris!$H$5:$H$150,Chris!$A$5:$A$150,B152)</f>
        <v>0</v>
      </c>
      <c r="V152" s="86">
        <f t="shared" si="26"/>
        <v>0</v>
      </c>
      <c r="X152" s="1">
        <f>MATCH(B152,'Master Budget'!$G$4:$G$360,0)</f>
        <v>248</v>
      </c>
    </row>
    <row r="153" spans="1:24" x14ac:dyDescent="0.25">
      <c r="A153" s="1">
        <v>143</v>
      </c>
      <c r="B153" s="1" t="s">
        <v>664</v>
      </c>
      <c r="C153" s="1" t="s">
        <v>665</v>
      </c>
      <c r="D153" s="1">
        <f>_xlfn.XLOOKUP(B153,'Master Budget'!$G$4:$G$210,'Master Budget'!$D$4:$D$210,0)</f>
        <v>0</v>
      </c>
      <c r="E153" s="22">
        <v>0</v>
      </c>
      <c r="F153" s="84">
        <f>SUMIFS('Data (TB)'!$E$6:$E$524,'Data (TB)'!$A$6:$A$524,'Budget Worksheet'!B153)</f>
        <v>0</v>
      </c>
      <c r="G153" s="62">
        <f t="shared" si="24"/>
        <v>0</v>
      </c>
      <c r="H153" s="85">
        <v>256000</v>
      </c>
      <c r="I153" s="86">
        <f t="shared" si="27"/>
        <v>-256000</v>
      </c>
      <c r="J153" s="85">
        <v>256000</v>
      </c>
      <c r="K153" s="87">
        <f t="shared" si="28"/>
        <v>0</v>
      </c>
      <c r="L153" s="85">
        <v>256000</v>
      </c>
      <c r="M153" s="86">
        <f t="shared" si="29"/>
        <v>0</v>
      </c>
      <c r="N153" s="85">
        <v>134000</v>
      </c>
      <c r="O153" s="86">
        <f t="shared" si="29"/>
        <v>122000</v>
      </c>
      <c r="P153" s="85">
        <v>138000</v>
      </c>
      <c r="Q153" s="86">
        <f t="shared" si="30"/>
        <v>118000</v>
      </c>
      <c r="R153" s="62">
        <f>_xlfn.XLOOKUP(B153,'Data (TB)'!$A$6:$A$554,'Data (TB)'!$E$6:$E$554,0)/'Data (TB)'!$C$2*12</f>
        <v>0</v>
      </c>
      <c r="S153" s="100">
        <f>SUMIFS(Chris!$G$5:$G$150,Chris!$A$5:$A$150,B153)</f>
        <v>138000</v>
      </c>
      <c r="T153" s="87">
        <f t="shared" si="25"/>
        <v>138000</v>
      </c>
      <c r="U153" s="100">
        <f>SUMIFS(Chris!$H$5:$H$150,Chris!$A$5:$A$150,B153)</f>
        <v>141000</v>
      </c>
      <c r="V153" s="86">
        <f t="shared" si="26"/>
        <v>-141000</v>
      </c>
      <c r="X153" s="1">
        <f>MATCH(B153,'Master Budget'!$G$4:$G$360,0)</f>
        <v>249</v>
      </c>
    </row>
    <row r="154" spans="1:24" x14ac:dyDescent="0.25">
      <c r="A154" s="1">
        <v>144</v>
      </c>
      <c r="B154" s="1" t="s">
        <v>666</v>
      </c>
      <c r="C154" s="1" t="s">
        <v>667</v>
      </c>
      <c r="D154" s="1">
        <f>_xlfn.XLOOKUP(B154,'Master Budget'!$G$4:$G$210,'Master Budget'!$D$4:$D$210,0)</f>
        <v>0</v>
      </c>
      <c r="E154" s="22">
        <v>49588.3</v>
      </c>
      <c r="F154" s="84">
        <f>SUMIFS('Data (TB)'!$E$6:$E$524,'Data (TB)'!$A$6:$A$524,'Budget Worksheet'!B154)</f>
        <v>0</v>
      </c>
      <c r="G154" s="62">
        <f t="shared" si="24"/>
        <v>0</v>
      </c>
      <c r="H154" s="85">
        <v>91558</v>
      </c>
      <c r="I154" s="86">
        <f t="shared" si="27"/>
        <v>-91558</v>
      </c>
      <c r="J154" s="85">
        <v>91558</v>
      </c>
      <c r="K154" s="87">
        <f t="shared" si="28"/>
        <v>0</v>
      </c>
      <c r="L154" s="85">
        <v>91558</v>
      </c>
      <c r="M154" s="86">
        <f t="shared" si="29"/>
        <v>0</v>
      </c>
      <c r="N154" s="85">
        <v>91558</v>
      </c>
      <c r="O154" s="86">
        <f t="shared" si="29"/>
        <v>0</v>
      </c>
      <c r="P154" s="85">
        <v>91558</v>
      </c>
      <c r="Q154" s="86">
        <f t="shared" si="30"/>
        <v>0</v>
      </c>
      <c r="R154" s="62">
        <f>_xlfn.XLOOKUP(B154,'Data (TB)'!$A$6:$A$554,'Data (TB)'!$E$6:$E$554,0)/'Data (TB)'!$C$2*12</f>
        <v>0</v>
      </c>
      <c r="S154" s="100">
        <f>SUMIFS(Chris!$G$5:$G$150,Chris!$A$5:$A$150,B154)</f>
        <v>22158.400000000001</v>
      </c>
      <c r="T154" s="87">
        <f t="shared" si="25"/>
        <v>22158.400000000001</v>
      </c>
      <c r="U154" s="100">
        <f>SUMIFS(Chris!$H$5:$H$150,Chris!$A$5:$A$150,B154)</f>
        <v>19337.5</v>
      </c>
      <c r="V154" s="86">
        <f t="shared" si="26"/>
        <v>-19337.5</v>
      </c>
      <c r="X154" s="1">
        <f>MATCH(B154,'Master Budget'!$G$4:$G$360,0)</f>
        <v>250</v>
      </c>
    </row>
    <row r="155" spans="1:24" x14ac:dyDescent="0.25">
      <c r="A155" s="1">
        <v>145</v>
      </c>
      <c r="B155" s="1" t="s">
        <v>668</v>
      </c>
      <c r="C155" s="1" t="s">
        <v>327</v>
      </c>
      <c r="D155" s="1">
        <f>_xlfn.XLOOKUP(B155,'Master Budget'!$G$4:$G$210,'Master Budget'!$D$4:$D$210,0)</f>
        <v>0</v>
      </c>
      <c r="E155" s="22">
        <v>1808.58</v>
      </c>
      <c r="F155" s="84">
        <f>SUMIFS('Data (TB)'!$E$6:$E$524,'Data (TB)'!$A$6:$A$524,'Budget Worksheet'!B155)</f>
        <v>0</v>
      </c>
      <c r="G155" s="62">
        <f t="shared" si="24"/>
        <v>0</v>
      </c>
      <c r="H155" s="85">
        <v>-1590.1240000000003</v>
      </c>
      <c r="I155" s="86">
        <f t="shared" si="27"/>
        <v>1590.1240000000003</v>
      </c>
      <c r="J155" s="85">
        <v>0</v>
      </c>
      <c r="K155" s="87">
        <f t="shared" si="28"/>
        <v>-1590</v>
      </c>
      <c r="L155" s="85">
        <v>0</v>
      </c>
      <c r="M155" s="86">
        <f t="shared" si="29"/>
        <v>0</v>
      </c>
      <c r="N155" s="85">
        <v>0</v>
      </c>
      <c r="O155" s="86">
        <f t="shared" si="29"/>
        <v>0</v>
      </c>
      <c r="P155" s="85">
        <v>0</v>
      </c>
      <c r="Q155" s="86">
        <f t="shared" si="30"/>
        <v>0</v>
      </c>
      <c r="R155" s="62">
        <f>_xlfn.XLOOKUP(B155,'Data (TB)'!$A$6:$A$554,'Data (TB)'!$E$6:$E$554,0)/'Data (TB)'!$C$2*12</f>
        <v>0</v>
      </c>
      <c r="S155" s="100">
        <f>SUMIFS(Chris!$G$5:$G$150,Chris!$A$5:$A$150,B155)</f>
        <v>0</v>
      </c>
      <c r="T155" s="87">
        <f t="shared" si="25"/>
        <v>0</v>
      </c>
      <c r="U155" s="100">
        <f>SUMIFS(Chris!$H$5:$H$150,Chris!$A$5:$A$150,B155)</f>
        <v>0</v>
      </c>
      <c r="V155" s="86">
        <f t="shared" si="26"/>
        <v>0</v>
      </c>
      <c r="X155" s="1">
        <f>MATCH(B155,'Master Budget'!$G$4:$G$360,0)</f>
        <v>251</v>
      </c>
    </row>
    <row r="156" spans="1:24" x14ac:dyDescent="0.25">
      <c r="A156" s="1">
        <v>146</v>
      </c>
      <c r="B156" s="1" t="s">
        <v>669</v>
      </c>
      <c r="C156" s="1" t="s">
        <v>43</v>
      </c>
      <c r="D156" s="1">
        <f>_xlfn.XLOOKUP(B156,'Master Budget'!$G$4:$G$210,'Master Budget'!$D$4:$D$210,0)</f>
        <v>0</v>
      </c>
      <c r="E156" s="22">
        <v>128797.85</v>
      </c>
      <c r="F156" s="84">
        <f>SUMIFS('Data (TB)'!$E$6:$E$524,'Data (TB)'!$A$6:$A$524,'Budget Worksheet'!B156)</f>
        <v>56157.7</v>
      </c>
      <c r="G156" s="62">
        <f t="shared" si="24"/>
        <v>96270.342857142852</v>
      </c>
      <c r="H156" s="85">
        <v>87202.200000000012</v>
      </c>
      <c r="I156" s="86">
        <f t="shared" si="27"/>
        <v>9068.1428571428405</v>
      </c>
      <c r="J156" s="85">
        <v>87202</v>
      </c>
      <c r="K156" s="87">
        <f t="shared" si="28"/>
        <v>0</v>
      </c>
      <c r="L156" s="85">
        <v>87202</v>
      </c>
      <c r="M156" s="86">
        <f t="shared" si="29"/>
        <v>0</v>
      </c>
      <c r="N156" s="85">
        <v>87202</v>
      </c>
      <c r="O156" s="86">
        <f t="shared" si="29"/>
        <v>0</v>
      </c>
      <c r="P156" s="85">
        <v>87202</v>
      </c>
      <c r="Q156" s="86">
        <f t="shared" si="30"/>
        <v>0</v>
      </c>
      <c r="R156" s="62">
        <f>_xlfn.XLOOKUP(B156,'Data (TB)'!$A$6:$A$554,'Data (TB)'!$E$6:$E$554,0)/'Data (TB)'!$C$2*12</f>
        <v>74876.933333333334</v>
      </c>
      <c r="S156" s="100">
        <f>SUMIFS(Chris!$G$5:$G$150,Chris!$A$5:$A$150,B156)</f>
        <v>87202</v>
      </c>
      <c r="T156" s="87">
        <f t="shared" si="25"/>
        <v>12325.066666666666</v>
      </c>
      <c r="U156" s="100">
        <f>SUMIFS(Chris!$H$5:$H$150,Chris!$A$5:$A$150,B156)</f>
        <v>87202</v>
      </c>
      <c r="V156" s="86">
        <f t="shared" si="26"/>
        <v>-12325.066666666666</v>
      </c>
      <c r="X156" s="1">
        <f>MATCH(B156,'Master Budget'!$G$4:$G$360,0)</f>
        <v>252</v>
      </c>
    </row>
    <row r="157" spans="1:24" x14ac:dyDescent="0.25">
      <c r="A157" s="126">
        <v>147</v>
      </c>
      <c r="B157" s="126" t="s">
        <v>670</v>
      </c>
      <c r="C157" s="126" t="s">
        <v>671</v>
      </c>
      <c r="D157" s="126">
        <f>_xlfn.XLOOKUP(B157,'Master Budget'!$G$4:$G$210,'Master Budget'!$D$4:$D$210,0)</f>
        <v>0</v>
      </c>
      <c r="E157" s="127">
        <v>1064852.02</v>
      </c>
      <c r="F157" s="128">
        <f>SUMIFS('Data (TB)'!$E$6:$E$524,'Data (TB)'!$A$6:$A$524,'Budget Worksheet'!B157)</f>
        <v>0</v>
      </c>
      <c r="G157" s="129">
        <f t="shared" si="24"/>
        <v>0</v>
      </c>
      <c r="H157" s="130">
        <v>3700000</v>
      </c>
      <c r="I157" s="131">
        <f t="shared" si="27"/>
        <v>-3700000</v>
      </c>
      <c r="J157" s="130">
        <v>0</v>
      </c>
      <c r="K157" s="132">
        <f t="shared" si="28"/>
        <v>3700000</v>
      </c>
      <c r="L157" s="130">
        <v>0</v>
      </c>
      <c r="M157" s="132">
        <f t="shared" si="29"/>
        <v>0</v>
      </c>
      <c r="N157" s="130">
        <v>0</v>
      </c>
      <c r="O157" s="132">
        <f t="shared" si="29"/>
        <v>0</v>
      </c>
      <c r="P157" s="130">
        <v>0</v>
      </c>
      <c r="Q157" s="132">
        <f t="shared" si="30"/>
        <v>0</v>
      </c>
      <c r="R157" s="62">
        <f>_xlfn.XLOOKUP(B157,'Data (TB)'!$A$6:$A$554,'Data (TB)'!$E$6:$E$554,0)/'Data (TB)'!$C$2*12</f>
        <v>0</v>
      </c>
      <c r="S157" s="129">
        <f>_xlfn.XLOOKUP(B157,'27 Capital Budget'!$N$6:$N$11,'27 Capital Budget'!$U$6:$U$11,0)</f>
        <v>0</v>
      </c>
      <c r="T157" s="87">
        <f t="shared" si="25"/>
        <v>0</v>
      </c>
      <c r="U157" s="129">
        <f>_xlfn.XLOOKUP(B157,'27 Capital Budget'!$N$6:$N$11,'27 Capital Budget'!$V$6:$V$11,0)</f>
        <v>0</v>
      </c>
      <c r="V157" s="132">
        <f t="shared" si="26"/>
        <v>0</v>
      </c>
      <c r="X157" s="1">
        <f>MATCH(B157,'Master Budget'!$G$4:$G$360,0)</f>
        <v>253</v>
      </c>
    </row>
    <row r="158" spans="1:24" x14ac:dyDescent="0.25">
      <c r="A158" s="126">
        <v>148</v>
      </c>
      <c r="B158" s="126" t="s">
        <v>672</v>
      </c>
      <c r="C158" s="126" t="s">
        <v>344</v>
      </c>
      <c r="D158" s="126">
        <f>_xlfn.XLOOKUP(B158,'Master Budget'!$G$4:$G$210,'Master Budget'!$D$4:$D$210,0)</f>
        <v>0</v>
      </c>
      <c r="E158" s="127">
        <v>0</v>
      </c>
      <c r="F158" s="128">
        <f>SUMIFS('Data (TB)'!$E$6:$E$524,'Data (TB)'!$A$6:$A$524,'Budget Worksheet'!B158)</f>
        <v>24073</v>
      </c>
      <c r="G158" s="129">
        <f t="shared" si="24"/>
        <v>41268</v>
      </c>
      <c r="H158" s="130">
        <v>100000</v>
      </c>
      <c r="I158" s="131">
        <f t="shared" si="27"/>
        <v>-58732</v>
      </c>
      <c r="J158" s="130">
        <v>3800000</v>
      </c>
      <c r="K158" s="132">
        <f t="shared" si="28"/>
        <v>-3700000</v>
      </c>
      <c r="L158" s="130">
        <v>3905500</v>
      </c>
      <c r="M158" s="132">
        <f t="shared" si="29"/>
        <v>-105500</v>
      </c>
      <c r="N158" s="130">
        <v>2540500</v>
      </c>
      <c r="O158" s="132">
        <f t="shared" si="29"/>
        <v>1365000</v>
      </c>
      <c r="P158" s="130">
        <v>970000</v>
      </c>
      <c r="Q158" s="132">
        <f t="shared" si="30"/>
        <v>2935500</v>
      </c>
      <c r="R158" s="62">
        <f>_xlfn.XLOOKUP(B158,'Data (TB)'!$A$6:$A$554,'Data (TB)'!$E$6:$E$554,0)/'Data (TB)'!$C$2*12</f>
        <v>32097.333333333336</v>
      </c>
      <c r="S158" s="129">
        <f>_xlfn.XLOOKUP(B158,'27 Capital Budget'!$N$6:$N$11,'27 Capital Budget'!$U$6:$U$11,0)</f>
        <v>930000</v>
      </c>
      <c r="T158" s="87">
        <f t="shared" si="25"/>
        <v>897902.66666666663</v>
      </c>
      <c r="U158" s="129">
        <f>_xlfn.XLOOKUP(B158,'27 Capital Budget'!$N$6:$N$11,'27 Capital Budget'!$V$6:$V$11,0)</f>
        <v>1590000</v>
      </c>
      <c r="V158" s="132">
        <f t="shared" si="26"/>
        <v>-1557902.6666666667</v>
      </c>
      <c r="X158" s="1">
        <f>MATCH(B158,'Master Budget'!$G$4:$G$360,0)</f>
        <v>254</v>
      </c>
    </row>
    <row r="159" spans="1:24" x14ac:dyDescent="0.25">
      <c r="A159" s="126"/>
      <c r="B159" s="126" t="s">
        <v>673</v>
      </c>
      <c r="C159" s="126" t="s">
        <v>674</v>
      </c>
      <c r="D159" s="126"/>
      <c r="E159" s="127"/>
      <c r="F159" s="128"/>
      <c r="G159" s="129"/>
      <c r="H159" s="130"/>
      <c r="I159" s="131"/>
      <c r="J159" s="130">
        <v>0</v>
      </c>
      <c r="K159" s="132">
        <f t="shared" ref="K159" si="31">ROUND(H159-J159,0)</f>
        <v>0</v>
      </c>
      <c r="L159" s="130">
        <v>0</v>
      </c>
      <c r="M159" s="132">
        <f t="shared" ref="M159:O159" si="32">J159-L159</f>
        <v>0</v>
      </c>
      <c r="N159" s="130">
        <v>0</v>
      </c>
      <c r="O159" s="132">
        <f t="shared" si="32"/>
        <v>0</v>
      </c>
      <c r="P159" s="130">
        <v>0</v>
      </c>
      <c r="Q159" s="132">
        <f t="shared" si="30"/>
        <v>0</v>
      </c>
      <c r="R159" s="62">
        <f>_xlfn.XLOOKUP(B159,'Data (TB)'!$A$6:$A$554,'Data (TB)'!$E$6:$E$554,0)/'Data (TB)'!$C$2*12</f>
        <v>806697.2266666668</v>
      </c>
      <c r="S159" s="129">
        <f>SUMIFS(Chris!$G$5:$G$150,Chris!$A$5:$A$150,B159)</f>
        <v>0</v>
      </c>
      <c r="T159" s="87">
        <f t="shared" si="25"/>
        <v>-806697.2266666668</v>
      </c>
      <c r="U159" s="129">
        <f>SUMIFS(Chris!$H$5:$H$150,Chris!$A$5:$A$150,B159)</f>
        <v>0</v>
      </c>
      <c r="V159" s="132">
        <f t="shared" si="26"/>
        <v>806697.2266666668</v>
      </c>
      <c r="X159" s="1">
        <f>MATCH(B159,'Master Budget'!$G$4:$G$360,0)</f>
        <v>255</v>
      </c>
    </row>
    <row r="160" spans="1:24" x14ac:dyDescent="0.25">
      <c r="A160" s="1">
        <v>149</v>
      </c>
      <c r="B160" s="1" t="s">
        <v>675</v>
      </c>
      <c r="C160" s="1" t="s">
        <v>348</v>
      </c>
      <c r="D160" s="1">
        <f>_xlfn.XLOOKUP(B160,'Master Budget'!$G$4:$G$210,'Master Budget'!$D$4:$D$210,0)</f>
        <v>0</v>
      </c>
      <c r="E160" s="22">
        <v>0</v>
      </c>
      <c r="F160" s="84">
        <f>SUMIFS('Data (TB)'!$E$6:$E$524,'Data (TB)'!$A$6:$A$524,'Budget Worksheet'!B160)</f>
        <v>0</v>
      </c>
      <c r="G160" s="62">
        <f t="shared" si="24"/>
        <v>0</v>
      </c>
      <c r="H160" s="85">
        <v>0</v>
      </c>
      <c r="I160" s="86">
        <f t="shared" si="27"/>
        <v>0</v>
      </c>
      <c r="J160" s="85">
        <v>0</v>
      </c>
      <c r="K160" s="87">
        <f t="shared" si="28"/>
        <v>0</v>
      </c>
      <c r="L160" s="85">
        <v>0</v>
      </c>
      <c r="M160" s="86">
        <f t="shared" si="29"/>
        <v>0</v>
      </c>
      <c r="N160" s="85">
        <v>0</v>
      </c>
      <c r="O160" s="86">
        <f t="shared" si="29"/>
        <v>0</v>
      </c>
      <c r="P160" s="85">
        <v>0</v>
      </c>
      <c r="Q160" s="86">
        <f t="shared" si="30"/>
        <v>0</v>
      </c>
      <c r="R160" s="62">
        <f>_xlfn.XLOOKUP(B160,'Data (TB)'!$A$6:$A$554,'Data (TB)'!$E$6:$E$554,0)/'Data (TB)'!$C$2*12</f>
        <v>0</v>
      </c>
      <c r="S160" s="100">
        <f>SUMIFS(Chris!$G$5:$G$150,Chris!$A$5:$A$150,B160)</f>
        <v>0</v>
      </c>
      <c r="T160" s="87">
        <f t="shared" si="25"/>
        <v>0</v>
      </c>
      <c r="U160" s="100">
        <f>SUMIFS(Chris!$H$5:$H$150,Chris!$A$5:$A$150,B160)</f>
        <v>0</v>
      </c>
      <c r="V160" s="86">
        <f t="shared" si="26"/>
        <v>0</v>
      </c>
      <c r="X160" s="1" t="e">
        <f>MATCH(B160,'Master Budget'!$G$4:$G$360,0)</f>
        <v>#N/A</v>
      </c>
    </row>
    <row r="161" spans="1:24" ht="15.75" thickBot="1" x14ac:dyDescent="0.3">
      <c r="A161" s="88">
        <v>150</v>
      </c>
      <c r="B161" s="88" t="s">
        <v>676</v>
      </c>
      <c r="C161" s="88" t="s">
        <v>164</v>
      </c>
      <c r="D161" s="88">
        <f>_xlfn.XLOOKUP(B161,'Master Budget'!$G$4:$G$210,'Master Budget'!$D$4:$D$210,0)</f>
        <v>0</v>
      </c>
      <c r="E161" s="89">
        <v>0</v>
      </c>
      <c r="F161" s="90">
        <f>SUMIFS('Data (TB)'!$E$6:$E$524,'Data (TB)'!$A$6:$A$524,'Budget Worksheet'!B161)</f>
        <v>0</v>
      </c>
      <c r="G161" s="91">
        <f t="shared" si="24"/>
        <v>0</v>
      </c>
      <c r="H161" s="92">
        <v>0</v>
      </c>
      <c r="I161" s="93">
        <f t="shared" si="27"/>
        <v>0</v>
      </c>
      <c r="J161" s="92">
        <v>0</v>
      </c>
      <c r="K161" s="94">
        <f t="shared" si="28"/>
        <v>0</v>
      </c>
      <c r="L161" s="92">
        <v>0</v>
      </c>
      <c r="M161" s="93">
        <f t="shared" si="29"/>
        <v>0</v>
      </c>
      <c r="N161" s="92">
        <v>0</v>
      </c>
      <c r="O161" s="93">
        <f t="shared" si="29"/>
        <v>0</v>
      </c>
      <c r="P161" s="92">
        <v>0</v>
      </c>
      <c r="Q161" s="93">
        <f t="shared" si="30"/>
        <v>0</v>
      </c>
      <c r="R161" s="62">
        <f>_xlfn.XLOOKUP(B161,'Data (TB)'!$A$6:$A$554,'Data (TB)'!$E$6:$E$554,0)/'Data (TB)'!$C$2*12</f>
        <v>0</v>
      </c>
      <c r="S161" s="104">
        <f>SUMIFS(Chris!$G$5:$G$150,Chris!$A$5:$A$150,B161)</f>
        <v>0</v>
      </c>
      <c r="T161" s="87">
        <f t="shared" si="25"/>
        <v>0</v>
      </c>
      <c r="U161" s="104">
        <f>SUMIFS(Chris!$H$5:$H$150,Chris!$A$5:$A$150,B161)</f>
        <v>0</v>
      </c>
      <c r="V161" s="93">
        <f t="shared" si="26"/>
        <v>0</v>
      </c>
      <c r="X161" s="1">
        <f>MATCH(B161,'Master Budget'!$G$4:$G$360,0)</f>
        <v>256</v>
      </c>
    </row>
    <row r="162" spans="1:24" x14ac:dyDescent="0.25">
      <c r="A162" s="1">
        <v>151</v>
      </c>
      <c r="B162" s="1" t="s">
        <v>717</v>
      </c>
      <c r="C162" s="1" t="s">
        <v>718</v>
      </c>
      <c r="D162" s="1">
        <f>_xlfn.XLOOKUP(B162,'Master Budget'!$G$4:$G$210,'Master Budget'!$D$4:$D$210,0)</f>
        <v>0</v>
      </c>
      <c r="E162" s="22">
        <v>-120701.55</v>
      </c>
      <c r="F162" s="84">
        <f>SUMIFS('Data (TB)'!$E$6:$E$524,'Data (TB)'!$A$6:$A$524,'Budget Worksheet'!B162)</f>
        <v>0</v>
      </c>
      <c r="G162" s="62">
        <f t="shared" si="24"/>
        <v>0</v>
      </c>
      <c r="H162" s="85">
        <v>-5183000</v>
      </c>
      <c r="I162" s="86">
        <f t="shared" si="27"/>
        <v>5183000</v>
      </c>
      <c r="J162" s="85">
        <v>-5183000</v>
      </c>
      <c r="K162" s="87">
        <f t="shared" si="28"/>
        <v>0</v>
      </c>
      <c r="L162" s="85">
        <v>-8183000</v>
      </c>
      <c r="M162" s="86">
        <f t="shared" si="29"/>
        <v>3000000</v>
      </c>
      <c r="N162" s="85">
        <v>-8183000</v>
      </c>
      <c r="O162" s="86">
        <f t="shared" si="29"/>
        <v>0</v>
      </c>
      <c r="P162" s="85">
        <v>0</v>
      </c>
      <c r="Q162" s="86">
        <f t="shared" si="30"/>
        <v>-8183000</v>
      </c>
      <c r="R162" s="62">
        <f>_xlfn.XLOOKUP(B162,'Data (TB)'!$A$6:$A$554,'Data (TB)'!$E$6:$E$554,0)/'Data (TB)'!$C$2*12</f>
        <v>0</v>
      </c>
      <c r="S162" s="100">
        <f>-SUMIFS(Chris!$G$5:$G$150,Chris!$A$5:$A$150,B162)</f>
        <v>-2619841.59</v>
      </c>
      <c r="T162" s="87">
        <f t="shared" si="25"/>
        <v>2619841.59</v>
      </c>
      <c r="U162" s="100">
        <f>-SUMIFS(Chris!$H$5:$H$150,Chris!$A$5:$A$150,B162)</f>
        <v>0</v>
      </c>
      <c r="V162" s="86">
        <f>R162-U162</f>
        <v>0</v>
      </c>
      <c r="X162" s="1">
        <f>MATCH(B162,'Master Budget'!$G$4:$G$360,0)</f>
        <v>280</v>
      </c>
    </row>
    <row r="163" spans="1:24" x14ac:dyDescent="0.25">
      <c r="A163" s="1">
        <v>152</v>
      </c>
      <c r="B163" s="1" t="s">
        <v>719</v>
      </c>
      <c r="C163" s="1" t="s">
        <v>720</v>
      </c>
      <c r="D163" s="1">
        <f>_xlfn.XLOOKUP(B163,'Master Budget'!$G$4:$G$210,'Master Budget'!$D$4:$D$210,0)</f>
        <v>0</v>
      </c>
      <c r="E163" s="22">
        <v>-693190.68</v>
      </c>
      <c r="F163" s="84">
        <f>SUMIFS('Data (TB)'!$E$6:$E$524,'Data (TB)'!$A$6:$A$524,'Budget Worksheet'!B163)</f>
        <v>-515578.6</v>
      </c>
      <c r="G163" s="62">
        <f t="shared" si="24"/>
        <v>-883849.0285714285</v>
      </c>
      <c r="H163" s="85">
        <v>-685000</v>
      </c>
      <c r="I163" s="86">
        <f t="shared" si="27"/>
        <v>-198849.0285714285</v>
      </c>
      <c r="J163" s="85">
        <v>-685000</v>
      </c>
      <c r="K163" s="87">
        <f t="shared" si="28"/>
        <v>0</v>
      </c>
      <c r="L163" s="85">
        <v>-685000</v>
      </c>
      <c r="M163" s="86">
        <f t="shared" si="29"/>
        <v>0</v>
      </c>
      <c r="N163" s="85">
        <v>-685000</v>
      </c>
      <c r="O163" s="86">
        <f t="shared" si="29"/>
        <v>0</v>
      </c>
      <c r="P163" s="85">
        <v>-685000</v>
      </c>
      <c r="Q163" s="86">
        <f t="shared" si="30"/>
        <v>0</v>
      </c>
      <c r="R163" s="62">
        <f>_xlfn.XLOOKUP(B163,'Data (TB)'!$A$6:$A$554,'Data (TB)'!$E$6:$E$554,0)/'Data (TB)'!$C$2*12</f>
        <v>-687438.1333333333</v>
      </c>
      <c r="S163" s="100">
        <f>-SUMIFS(Chris!$G$5:$G$150,Chris!$A$5:$A$150,B163)</f>
        <v>-685000</v>
      </c>
      <c r="T163" s="87">
        <f t="shared" si="25"/>
        <v>-2438.1333333333023</v>
      </c>
      <c r="U163" s="100">
        <f>-SUMIFS(Chris!$H$5:$H$150,Chris!$A$5:$A$150,B163)</f>
        <v>-685000</v>
      </c>
      <c r="V163" s="86">
        <f>R163-U163</f>
        <v>-2438.1333333333023</v>
      </c>
      <c r="X163" s="1">
        <f>MATCH(B163,'Master Budget'!$G$4:$G$360,0)</f>
        <v>281</v>
      </c>
    </row>
    <row r="164" spans="1:24" x14ac:dyDescent="0.25">
      <c r="A164" s="1">
        <v>153</v>
      </c>
      <c r="B164" s="1" t="s">
        <v>721</v>
      </c>
      <c r="C164" s="1" t="s">
        <v>256</v>
      </c>
      <c r="D164" s="1">
        <f>_xlfn.XLOOKUP(B164,'Master Budget'!$G$4:$G$210,'Master Budget'!$D$4:$D$210,0)</f>
        <v>0</v>
      </c>
      <c r="E164" s="22">
        <v>0</v>
      </c>
      <c r="F164" s="84">
        <f>SUMIFS('Data (TB)'!$E$6:$E$524,'Data (TB)'!$A$6:$A$524,'Budget Worksheet'!B164)</f>
        <v>0</v>
      </c>
      <c r="G164" s="62">
        <f t="shared" si="24"/>
        <v>0</v>
      </c>
      <c r="H164" s="85">
        <v>0</v>
      </c>
      <c r="I164" s="86">
        <f t="shared" si="27"/>
        <v>0</v>
      </c>
      <c r="J164" s="85">
        <v>0</v>
      </c>
      <c r="K164" s="87">
        <f t="shared" si="28"/>
        <v>0</v>
      </c>
      <c r="L164" s="85">
        <v>0</v>
      </c>
      <c r="M164" s="86">
        <f t="shared" si="29"/>
        <v>0</v>
      </c>
      <c r="N164" s="85">
        <v>0</v>
      </c>
      <c r="O164" s="86">
        <f t="shared" si="29"/>
        <v>0</v>
      </c>
      <c r="P164" s="85">
        <v>0</v>
      </c>
      <c r="Q164" s="86">
        <f t="shared" si="30"/>
        <v>0</v>
      </c>
      <c r="R164" s="62">
        <f>_xlfn.XLOOKUP(B164,'Data (TB)'!$A$6:$A$554,'Data (TB)'!$E$6:$E$554,0)/'Data (TB)'!$C$2*12</f>
        <v>0</v>
      </c>
      <c r="S164" s="100">
        <f>-SUMIFS(Chris!$G$5:$G$150,Chris!$A$5:$A$150,B164)</f>
        <v>0</v>
      </c>
      <c r="T164" s="87">
        <f t="shared" si="25"/>
        <v>0</v>
      </c>
      <c r="U164" s="100">
        <f>-SUMIFS(Chris!$H$5:$H$150,Chris!$A$5:$A$150,B164)</f>
        <v>0</v>
      </c>
      <c r="V164" s="86">
        <f t="shared" si="26"/>
        <v>0</v>
      </c>
      <c r="X164" s="1">
        <f>MATCH(B164,'Master Budget'!$G$4:$G$360,0)</f>
        <v>282</v>
      </c>
    </row>
    <row r="165" spans="1:24" x14ac:dyDescent="0.25">
      <c r="A165" s="1">
        <v>154</v>
      </c>
      <c r="B165" s="1" t="s">
        <v>722</v>
      </c>
      <c r="C165" s="1" t="s">
        <v>99</v>
      </c>
      <c r="D165" s="1">
        <f>_xlfn.XLOOKUP(B165,'Master Budget'!$G$4:$G$210,'Master Budget'!$D$4:$D$210,0)</f>
        <v>0</v>
      </c>
      <c r="E165" s="22">
        <v>-2478.87</v>
      </c>
      <c r="F165" s="84">
        <f>SUMIFS('Data (TB)'!$E$6:$E$524,'Data (TB)'!$A$6:$A$524,'Budget Worksheet'!B165)</f>
        <v>0</v>
      </c>
      <c r="G165" s="62">
        <f t="shared" ref="G165:G198" si="33">F165/$G$1*12</f>
        <v>0</v>
      </c>
      <c r="H165" s="85">
        <v>-479.70000000000005</v>
      </c>
      <c r="I165" s="86">
        <f t="shared" si="27"/>
        <v>479.70000000000005</v>
      </c>
      <c r="J165" s="85">
        <v>-480</v>
      </c>
      <c r="K165" s="87">
        <f t="shared" si="28"/>
        <v>0</v>
      </c>
      <c r="L165" s="85">
        <v>-480</v>
      </c>
      <c r="M165" s="86">
        <f t="shared" si="29"/>
        <v>0</v>
      </c>
      <c r="N165" s="85">
        <v>-480</v>
      </c>
      <c r="O165" s="86">
        <f t="shared" si="29"/>
        <v>0</v>
      </c>
      <c r="P165" s="85">
        <v>-480</v>
      </c>
      <c r="Q165" s="86">
        <f t="shared" si="30"/>
        <v>0</v>
      </c>
      <c r="R165" s="62">
        <f>_xlfn.XLOOKUP(B165,'Data (TB)'!$A$6:$A$554,'Data (TB)'!$E$6:$E$554,0)/'Data (TB)'!$C$2*12</f>
        <v>0</v>
      </c>
      <c r="S165" s="100">
        <f>-SUMIFS(Chris!$G$5:$G$150,Chris!$A$5:$A$150,B165)</f>
        <v>-480</v>
      </c>
      <c r="T165" s="87">
        <f t="shared" si="25"/>
        <v>480</v>
      </c>
      <c r="U165" s="100">
        <f>-SUMIFS(Chris!$H$5:$H$150,Chris!$A$5:$A$150,B165)</f>
        <v>-480</v>
      </c>
      <c r="V165" s="86">
        <f t="shared" si="26"/>
        <v>480</v>
      </c>
      <c r="X165" s="1">
        <f>MATCH(B165,'Master Budget'!$G$4:$G$360,0)</f>
        <v>283</v>
      </c>
    </row>
    <row r="166" spans="1:24" x14ac:dyDescent="0.25">
      <c r="A166" s="1">
        <v>155</v>
      </c>
      <c r="B166" s="1" t="s">
        <v>723</v>
      </c>
      <c r="C166" s="1" t="s">
        <v>467</v>
      </c>
      <c r="D166" s="1">
        <f>_xlfn.XLOOKUP(B166,'Master Budget'!$G$4:$G$210,'Master Budget'!$D$4:$D$210,0)</f>
        <v>0</v>
      </c>
      <c r="E166" s="22">
        <v>-46792.94</v>
      </c>
      <c r="F166" s="84">
        <f>SUMIFS('Data (TB)'!$E$6:$E$524,'Data (TB)'!$A$6:$A$524,'Budget Worksheet'!B166)</f>
        <v>-79655.240000000005</v>
      </c>
      <c r="G166" s="62">
        <f t="shared" si="33"/>
        <v>-136551.84000000003</v>
      </c>
      <c r="H166" s="85">
        <v>-240000</v>
      </c>
      <c r="I166" s="86">
        <f t="shared" si="27"/>
        <v>103448.15999999997</v>
      </c>
      <c r="J166" s="85">
        <v>-240000</v>
      </c>
      <c r="K166" s="87">
        <f t="shared" si="28"/>
        <v>0</v>
      </c>
      <c r="L166" s="85">
        <v>-240000</v>
      </c>
      <c r="M166" s="86">
        <f t="shared" si="29"/>
        <v>0</v>
      </c>
      <c r="N166" s="85">
        <v>-240000</v>
      </c>
      <c r="O166" s="86">
        <f t="shared" si="29"/>
        <v>0</v>
      </c>
      <c r="P166" s="85">
        <v>-50000</v>
      </c>
      <c r="Q166" s="86">
        <f t="shared" si="30"/>
        <v>-190000</v>
      </c>
      <c r="R166" s="62">
        <f>_xlfn.XLOOKUP(B166,'Data (TB)'!$A$6:$A$554,'Data (TB)'!$E$6:$E$554,0)/'Data (TB)'!$C$2*12</f>
        <v>-106206.98666666668</v>
      </c>
      <c r="S166" s="100">
        <f>-SUMIFS(Chris!$G$5:$G$150,Chris!$A$5:$A$150,B166)</f>
        <v>-50000</v>
      </c>
      <c r="T166" s="87">
        <f t="shared" si="25"/>
        <v>-56206.986666666679</v>
      </c>
      <c r="U166" s="100">
        <f>-SUMIFS(Chris!$H$5:$H$150,Chris!$A$5:$A$150,B166)</f>
        <v>-50000</v>
      </c>
      <c r="V166" s="86">
        <f t="shared" si="26"/>
        <v>-56206.986666666679</v>
      </c>
      <c r="X166" s="1">
        <f>MATCH(B166,'Master Budget'!$G$4:$G$360,0)</f>
        <v>284</v>
      </c>
    </row>
    <row r="167" spans="1:24" x14ac:dyDescent="0.25">
      <c r="A167" s="1">
        <v>157</v>
      </c>
      <c r="B167" s="1" t="s">
        <v>725</v>
      </c>
      <c r="C167" s="1" t="s">
        <v>726</v>
      </c>
      <c r="D167" s="1">
        <f>_xlfn.XLOOKUP(B167,'Master Budget'!$G$4:$G$210,'Master Budget'!$D$4:$D$210,0)</f>
        <v>0</v>
      </c>
      <c r="E167" s="22">
        <v>0</v>
      </c>
      <c r="F167" s="84">
        <f>SUMIFS('Data (TB)'!$E$6:$E$524,'Data (TB)'!$A$6:$A$524,'Budget Worksheet'!B167)</f>
        <v>0</v>
      </c>
      <c r="G167" s="62">
        <f t="shared" si="33"/>
        <v>0</v>
      </c>
      <c r="H167" s="85">
        <v>0</v>
      </c>
      <c r="I167" s="86">
        <f t="shared" si="27"/>
        <v>0</v>
      </c>
      <c r="J167" s="85">
        <v>0</v>
      </c>
      <c r="K167" s="87">
        <f t="shared" si="28"/>
        <v>0</v>
      </c>
      <c r="L167" s="85">
        <v>0</v>
      </c>
      <c r="M167" s="86">
        <f t="shared" si="29"/>
        <v>0</v>
      </c>
      <c r="N167" s="85">
        <v>0</v>
      </c>
      <c r="O167" s="86">
        <f t="shared" si="29"/>
        <v>0</v>
      </c>
      <c r="P167" s="85">
        <v>0</v>
      </c>
      <c r="Q167" s="86">
        <f t="shared" si="30"/>
        <v>0</v>
      </c>
      <c r="R167" s="62">
        <f>_xlfn.XLOOKUP(B167,'Data (TB)'!$A$6:$A$554,'Data (TB)'!$E$6:$E$554,0)/'Data (TB)'!$C$2*12</f>
        <v>0</v>
      </c>
      <c r="S167" s="100">
        <f>-SUMIFS(Chris!$G$5:$G$150,Chris!$A$5:$A$150,B167)</f>
        <v>0</v>
      </c>
      <c r="T167" s="87">
        <f t="shared" si="25"/>
        <v>0</v>
      </c>
      <c r="U167" s="100">
        <f>-SUMIFS(Chris!$H$5:$H$150,Chris!$A$5:$A$150,B167)</f>
        <v>0</v>
      </c>
      <c r="V167" s="86">
        <f t="shared" si="26"/>
        <v>0</v>
      </c>
      <c r="X167" s="1" t="e">
        <f>MATCH(B167,'Master Budget'!$G$4:$G$360,0)</f>
        <v>#N/A</v>
      </c>
    </row>
    <row r="168" spans="1:24" x14ac:dyDescent="0.25">
      <c r="A168" s="1">
        <v>158</v>
      </c>
      <c r="B168" s="1" t="s">
        <v>727</v>
      </c>
      <c r="C168" s="1" t="s">
        <v>106</v>
      </c>
      <c r="D168" s="1">
        <f>_xlfn.XLOOKUP(B168,'Master Budget'!$G$4:$G$210,'Master Budget'!$D$4:$D$210,0)</f>
        <v>0</v>
      </c>
      <c r="E168" s="22">
        <v>0</v>
      </c>
      <c r="F168" s="84">
        <f>SUMIFS('Data (TB)'!$E$6:$E$524,'Data (TB)'!$A$6:$A$524,'Budget Worksheet'!B168)</f>
        <v>0</v>
      </c>
      <c r="G168" s="62">
        <f t="shared" si="33"/>
        <v>0</v>
      </c>
      <c r="H168" s="85">
        <v>0</v>
      </c>
      <c r="I168" s="86">
        <f t="shared" si="27"/>
        <v>0</v>
      </c>
      <c r="J168" s="85">
        <v>0</v>
      </c>
      <c r="K168" s="87">
        <f t="shared" si="28"/>
        <v>0</v>
      </c>
      <c r="L168" s="85">
        <v>0</v>
      </c>
      <c r="M168" s="86">
        <f t="shared" si="29"/>
        <v>0</v>
      </c>
      <c r="N168" s="85">
        <v>0</v>
      </c>
      <c r="O168" s="86">
        <f t="shared" si="29"/>
        <v>0</v>
      </c>
      <c r="P168" s="85">
        <v>0</v>
      </c>
      <c r="Q168" s="86">
        <f t="shared" si="30"/>
        <v>0</v>
      </c>
      <c r="R168" s="62">
        <f>_xlfn.XLOOKUP(B168,'Data (TB)'!$A$6:$A$554,'Data (TB)'!$E$6:$E$554,0)/'Data (TB)'!$C$2*12</f>
        <v>0</v>
      </c>
      <c r="S168" s="100">
        <f>-SUMIFS(Chris!$G$5:$G$150,Chris!$A$5:$A$150,B168)</f>
        <v>0</v>
      </c>
      <c r="T168" s="87">
        <f t="shared" si="25"/>
        <v>0</v>
      </c>
      <c r="U168" s="100">
        <f>-SUMIFS(Chris!$H$5:$H$150,Chris!$A$5:$A$150,B168)</f>
        <v>0</v>
      </c>
      <c r="V168" s="86">
        <f t="shared" si="26"/>
        <v>0</v>
      </c>
      <c r="X168" s="1" t="e">
        <f>MATCH(B168,'Master Budget'!$G$4:$G$360,0)</f>
        <v>#N/A</v>
      </c>
    </row>
    <row r="169" spans="1:24" x14ac:dyDescent="0.25">
      <c r="A169" s="1">
        <v>159</v>
      </c>
      <c r="B169" s="1" t="s">
        <v>728</v>
      </c>
      <c r="C169" s="1" t="s">
        <v>729</v>
      </c>
      <c r="D169" s="1">
        <f>_xlfn.XLOOKUP(B169,'Master Budget'!$G$4:$G$210,'Master Budget'!$D$4:$D$210,0)</f>
        <v>0</v>
      </c>
      <c r="E169" s="22">
        <v>0</v>
      </c>
      <c r="F169" s="84">
        <f>SUMIFS('Data (TB)'!$E$6:$E$524,'Data (TB)'!$A$6:$A$524,'Budget Worksheet'!B169)</f>
        <v>0</v>
      </c>
      <c r="G169" s="62">
        <f t="shared" si="33"/>
        <v>0</v>
      </c>
      <c r="H169" s="85">
        <v>0</v>
      </c>
      <c r="I169" s="86">
        <f t="shared" si="27"/>
        <v>0</v>
      </c>
      <c r="J169" s="85">
        <v>0</v>
      </c>
      <c r="K169" s="87">
        <f t="shared" si="28"/>
        <v>0</v>
      </c>
      <c r="L169" s="85">
        <v>0</v>
      </c>
      <c r="M169" s="86">
        <f t="shared" si="29"/>
        <v>0</v>
      </c>
      <c r="N169" s="85">
        <v>0</v>
      </c>
      <c r="O169" s="86">
        <f t="shared" si="29"/>
        <v>0</v>
      </c>
      <c r="P169" s="85">
        <v>0</v>
      </c>
      <c r="Q169" s="86">
        <f t="shared" si="30"/>
        <v>0</v>
      </c>
      <c r="R169" s="62">
        <f>_xlfn.XLOOKUP(B169,'Data (TB)'!$A$6:$A$554,'Data (TB)'!$E$6:$E$554,0)/'Data (TB)'!$C$2*12</f>
        <v>0</v>
      </c>
      <c r="S169" s="100">
        <f>-SUMIFS(Chris!$G$5:$G$150,Chris!$A$5:$A$150,B169)</f>
        <v>0</v>
      </c>
      <c r="T169" s="87">
        <f t="shared" si="25"/>
        <v>0</v>
      </c>
      <c r="U169" s="100">
        <f>-SUMIFS(Chris!$H$5:$H$150,Chris!$A$5:$A$150,B169)</f>
        <v>0</v>
      </c>
      <c r="V169" s="86">
        <f t="shared" si="26"/>
        <v>0</v>
      </c>
      <c r="X169" s="1" t="e">
        <f>MATCH(B169,'Master Budget'!$G$4:$G$360,0)</f>
        <v>#N/A</v>
      </c>
    </row>
    <row r="170" spans="1:24" x14ac:dyDescent="0.25">
      <c r="A170" s="1">
        <v>160</v>
      </c>
      <c r="B170" s="1" t="s">
        <v>730</v>
      </c>
      <c r="C170" s="1" t="s">
        <v>476</v>
      </c>
      <c r="D170" s="1">
        <f>_xlfn.XLOOKUP(B170,'Master Budget'!$G$4:$G$210,'Master Budget'!$D$4:$D$210,0)</f>
        <v>0</v>
      </c>
      <c r="E170" s="22">
        <v>0</v>
      </c>
      <c r="F170" s="84">
        <f>SUMIFS('Data (TB)'!$E$6:$E$524,'Data (TB)'!$A$6:$A$524,'Budget Worksheet'!B170)</f>
        <v>0</v>
      </c>
      <c r="G170" s="62">
        <f t="shared" si="33"/>
        <v>0</v>
      </c>
      <c r="H170" s="85">
        <v>0</v>
      </c>
      <c r="I170" s="86">
        <f t="shared" si="27"/>
        <v>0</v>
      </c>
      <c r="J170" s="85">
        <v>0</v>
      </c>
      <c r="K170" s="87">
        <f t="shared" si="28"/>
        <v>0</v>
      </c>
      <c r="L170" s="85">
        <v>0</v>
      </c>
      <c r="M170" s="86">
        <f t="shared" si="29"/>
        <v>0</v>
      </c>
      <c r="N170" s="85">
        <v>0</v>
      </c>
      <c r="O170" s="86">
        <f t="shared" si="29"/>
        <v>0</v>
      </c>
      <c r="P170" s="85">
        <v>0</v>
      </c>
      <c r="Q170" s="86">
        <f t="shared" si="30"/>
        <v>0</v>
      </c>
      <c r="R170" s="62">
        <f>_xlfn.XLOOKUP(B170,'Data (TB)'!$A$6:$A$554,'Data (TB)'!$E$6:$E$554,0)/'Data (TB)'!$C$2*12</f>
        <v>0</v>
      </c>
      <c r="S170" s="100">
        <f>-SUMIFS(Chris!$G$5:$G$150,Chris!$A$5:$A$150,B170)</f>
        <v>0</v>
      </c>
      <c r="T170" s="87">
        <f t="shared" si="25"/>
        <v>0</v>
      </c>
      <c r="U170" s="100">
        <f>-SUMIFS(Chris!$H$5:$H$150,Chris!$A$5:$A$150,B170)</f>
        <v>0</v>
      </c>
      <c r="V170" s="86">
        <f t="shared" si="26"/>
        <v>0</v>
      </c>
      <c r="X170" s="1" t="e">
        <f>MATCH(B170,'Master Budget'!$G$4:$G$360,0)</f>
        <v>#N/A</v>
      </c>
    </row>
    <row r="171" spans="1:24" x14ac:dyDescent="0.25">
      <c r="A171" s="1">
        <v>161</v>
      </c>
      <c r="B171" s="1" t="s">
        <v>731</v>
      </c>
      <c r="C171" s="1" t="s">
        <v>478</v>
      </c>
      <c r="D171" s="1">
        <f>_xlfn.XLOOKUP(B171,'Master Budget'!$G$4:$G$210,'Master Budget'!$D$4:$D$210,0)</f>
        <v>0</v>
      </c>
      <c r="E171" s="22">
        <v>0</v>
      </c>
      <c r="F171" s="84">
        <f>SUMIFS('Data (TB)'!$E$6:$E$524,'Data (TB)'!$A$6:$A$524,'Budget Worksheet'!B171)</f>
        <v>0</v>
      </c>
      <c r="G171" s="62">
        <f t="shared" si="33"/>
        <v>0</v>
      </c>
      <c r="H171" s="85">
        <v>0</v>
      </c>
      <c r="I171" s="86">
        <f t="shared" si="27"/>
        <v>0</v>
      </c>
      <c r="J171" s="85">
        <v>0</v>
      </c>
      <c r="K171" s="87">
        <f t="shared" si="28"/>
        <v>0</v>
      </c>
      <c r="L171" s="85">
        <v>0</v>
      </c>
      <c r="M171" s="86">
        <f t="shared" si="29"/>
        <v>0</v>
      </c>
      <c r="N171" s="85">
        <v>0</v>
      </c>
      <c r="O171" s="86">
        <f t="shared" si="29"/>
        <v>0</v>
      </c>
      <c r="P171" s="85">
        <v>0</v>
      </c>
      <c r="Q171" s="86">
        <f t="shared" si="30"/>
        <v>0</v>
      </c>
      <c r="R171" s="62">
        <f>_xlfn.XLOOKUP(B171,'Data (TB)'!$A$6:$A$554,'Data (TB)'!$E$6:$E$554,0)/'Data (TB)'!$C$2*12</f>
        <v>0</v>
      </c>
      <c r="S171" s="100">
        <f>-SUMIFS(Chris!$G$5:$G$150,Chris!$A$5:$A$150,B171)</f>
        <v>0</v>
      </c>
      <c r="T171" s="87">
        <f t="shared" si="25"/>
        <v>0</v>
      </c>
      <c r="U171" s="100">
        <f>-SUMIFS(Chris!$H$5:$H$150,Chris!$A$5:$A$150,B171)</f>
        <v>0</v>
      </c>
      <c r="V171" s="86">
        <f t="shared" si="26"/>
        <v>0</v>
      </c>
      <c r="X171" s="1" t="e">
        <f>MATCH(B171,'Master Budget'!$G$4:$G$360,0)</f>
        <v>#N/A</v>
      </c>
    </row>
    <row r="172" spans="1:24" x14ac:dyDescent="0.25">
      <c r="A172" s="1">
        <v>162</v>
      </c>
      <c r="B172" s="1" t="s">
        <v>732</v>
      </c>
      <c r="C172" s="1" t="s">
        <v>480</v>
      </c>
      <c r="D172" s="1">
        <f>_xlfn.XLOOKUP(B172,'Master Budget'!$G$4:$G$210,'Master Budget'!$D$4:$D$210,0)</f>
        <v>0</v>
      </c>
      <c r="E172" s="22">
        <v>0</v>
      </c>
      <c r="F172" s="84">
        <f>SUMIFS('Data (TB)'!$E$6:$E$524,'Data (TB)'!$A$6:$A$524,'Budget Worksheet'!B172)</f>
        <v>0</v>
      </c>
      <c r="G172" s="62">
        <f t="shared" si="33"/>
        <v>0</v>
      </c>
      <c r="H172" s="85">
        <v>0</v>
      </c>
      <c r="I172" s="86">
        <f t="shared" si="27"/>
        <v>0</v>
      </c>
      <c r="J172" s="85">
        <v>0</v>
      </c>
      <c r="K172" s="87">
        <f t="shared" si="28"/>
        <v>0</v>
      </c>
      <c r="L172" s="85">
        <v>0</v>
      </c>
      <c r="M172" s="86">
        <f t="shared" si="29"/>
        <v>0</v>
      </c>
      <c r="N172" s="85">
        <v>0</v>
      </c>
      <c r="O172" s="86">
        <f t="shared" si="29"/>
        <v>0</v>
      </c>
      <c r="P172" s="85">
        <v>0</v>
      </c>
      <c r="Q172" s="86">
        <f t="shared" si="30"/>
        <v>0</v>
      </c>
      <c r="R172" s="62">
        <f>_xlfn.XLOOKUP(B172,'Data (TB)'!$A$6:$A$554,'Data (TB)'!$E$6:$E$554,0)/'Data (TB)'!$C$2*12</f>
        <v>0</v>
      </c>
      <c r="S172" s="100">
        <f>-SUMIFS(Chris!$G$5:$G$150,Chris!$A$5:$A$150,B172)</f>
        <v>0</v>
      </c>
      <c r="T172" s="87">
        <f t="shared" si="25"/>
        <v>0</v>
      </c>
      <c r="U172" s="100">
        <f>-SUMIFS(Chris!$H$5:$H$150,Chris!$A$5:$A$150,B172)</f>
        <v>0</v>
      </c>
      <c r="V172" s="86">
        <f t="shared" si="26"/>
        <v>0</v>
      </c>
      <c r="X172" s="1" t="e">
        <f>MATCH(B172,'Master Budget'!$G$4:$G$360,0)</f>
        <v>#N/A</v>
      </c>
    </row>
    <row r="173" spans="1:24" x14ac:dyDescent="0.25">
      <c r="A173" s="78">
        <v>163</v>
      </c>
      <c r="B173" s="78" t="s">
        <v>733</v>
      </c>
      <c r="C173" s="78" t="s">
        <v>734</v>
      </c>
      <c r="D173" s="78">
        <f>_xlfn.XLOOKUP(B173,'Master Budget'!$G$4:$G$210,'Master Budget'!$D$4:$D$210,0)</f>
        <v>0</v>
      </c>
      <c r="E173" s="134">
        <v>105174.65</v>
      </c>
      <c r="F173" s="135">
        <f>SUMIFS('Data (TB)'!$E$6:$E$524,'Data (TB)'!$A$6:$A$524,'Budget Worksheet'!B173)</f>
        <v>151760.79999999999</v>
      </c>
      <c r="G173" s="79">
        <f t="shared" si="33"/>
        <v>260161.37142857141</v>
      </c>
      <c r="H173" s="136">
        <v>240279.85554166665</v>
      </c>
      <c r="I173" s="137">
        <f t="shared" si="27"/>
        <v>19881.515886904759</v>
      </c>
      <c r="J173" s="136">
        <v>240280</v>
      </c>
      <c r="K173" s="138">
        <f t="shared" si="28"/>
        <v>0</v>
      </c>
      <c r="L173" s="136">
        <v>221514.31</v>
      </c>
      <c r="M173" s="138">
        <f t="shared" si="29"/>
        <v>18765.690000000002</v>
      </c>
      <c r="N173" s="136">
        <v>221514.31</v>
      </c>
      <c r="O173" s="138">
        <f t="shared" si="29"/>
        <v>0</v>
      </c>
      <c r="P173" s="136">
        <v>259590.18340500002</v>
      </c>
      <c r="Q173" s="138">
        <f t="shared" si="30"/>
        <v>-38075.87340500002</v>
      </c>
      <c r="R173" s="62">
        <f>_xlfn.XLOOKUP(B173,'Data (TB)'!$A$6:$A$554,'Data (TB)'!$E$6:$E$554,0)/'Data (TB)'!$C$2*12</f>
        <v>202347.73333333334</v>
      </c>
      <c r="S173" s="79">
        <f>SUMIFS(Chris!$G$5:$G$150,Chris!$A$5:$A$150,B173)</f>
        <v>258650.34900000002</v>
      </c>
      <c r="T173" s="87">
        <f t="shared" si="25"/>
        <v>56302.615666666679</v>
      </c>
      <c r="U173" s="79">
        <f>SUMIFS(Chris!$H$5:$H$150,Chris!$A$5:$A$150,B173)</f>
        <v>210153.56189999994</v>
      </c>
      <c r="V173" s="138">
        <f t="shared" si="26"/>
        <v>-7805.8285666666052</v>
      </c>
      <c r="X173" s="1">
        <f>MATCH(B173,'Master Budget'!$G$4:$G$360,0)</f>
        <v>285</v>
      </c>
    </row>
    <row r="174" spans="1:24" x14ac:dyDescent="0.25">
      <c r="A174" s="1">
        <v>164</v>
      </c>
      <c r="B174" s="1" t="s">
        <v>735</v>
      </c>
      <c r="C174" s="1" t="s">
        <v>104</v>
      </c>
      <c r="D174" s="1">
        <f>_xlfn.XLOOKUP(B174,'Master Budget'!$G$4:$G$210,'Master Budget'!$D$4:$D$210,0)</f>
        <v>0</v>
      </c>
      <c r="E174" s="22">
        <v>9880.1</v>
      </c>
      <c r="F174" s="84">
        <f>SUMIFS('Data (TB)'!$E$6:$E$524,'Data (TB)'!$A$6:$A$524,'Budget Worksheet'!B174)</f>
        <v>12536.54</v>
      </c>
      <c r="G174" s="62">
        <f t="shared" si="33"/>
        <v>21491.211428571431</v>
      </c>
      <c r="H174" s="85">
        <v>18381.408948937496</v>
      </c>
      <c r="I174" s="101">
        <f t="shared" si="27"/>
        <v>3109.8024796339341</v>
      </c>
      <c r="J174" s="85">
        <v>18381</v>
      </c>
      <c r="K174" s="87">
        <f t="shared" si="28"/>
        <v>0</v>
      </c>
      <c r="L174" s="85">
        <v>16945.844714999999</v>
      </c>
      <c r="M174" s="86">
        <f t="shared" si="29"/>
        <v>1435.1552850000007</v>
      </c>
      <c r="N174" s="85">
        <v>16945.844714999999</v>
      </c>
      <c r="O174" s="86">
        <f t="shared" si="29"/>
        <v>0</v>
      </c>
      <c r="P174" s="85">
        <v>19858.649030482498</v>
      </c>
      <c r="Q174" s="86">
        <f t="shared" si="30"/>
        <v>-2912.8043154824991</v>
      </c>
      <c r="R174" s="62">
        <f>_xlfn.XLOOKUP(B174,'Data (TB)'!$A$6:$A$554,'Data (TB)'!$E$6:$E$554,0)/'Data (TB)'!$C$2*12</f>
        <v>16715.386666666669</v>
      </c>
      <c r="S174" s="100">
        <f>SUMIFS(Chris!$G$5:$G$150,Chris!$A$5:$A$150,B174)</f>
        <v>19786.7516985</v>
      </c>
      <c r="T174" s="87">
        <f t="shared" si="25"/>
        <v>3071.3650318333312</v>
      </c>
      <c r="U174" s="100">
        <f>SUMIFS(Chris!$H$5:$H$150,Chris!$A$5:$A$150,B174)</f>
        <v>16076.747485349995</v>
      </c>
      <c r="V174" s="86">
        <f t="shared" si="26"/>
        <v>638.63918131667378</v>
      </c>
      <c r="X174" s="1">
        <f>MATCH(B174,'Master Budget'!$G$4:$G$360,0)</f>
        <v>286</v>
      </c>
    </row>
    <row r="175" spans="1:24" x14ac:dyDescent="0.25">
      <c r="A175" s="1">
        <v>165</v>
      </c>
      <c r="B175" s="1" t="s">
        <v>736</v>
      </c>
      <c r="C175" s="1" t="s">
        <v>106</v>
      </c>
      <c r="D175" s="1">
        <f>_xlfn.XLOOKUP(B175,'Master Budget'!$G$4:$G$210,'Master Budget'!$D$4:$D$210,0)</f>
        <v>0</v>
      </c>
      <c r="E175" s="22">
        <v>1412.3</v>
      </c>
      <c r="F175" s="84">
        <f>SUMIFS('Data (TB)'!$E$6:$E$524,'Data (TB)'!$A$6:$A$524,'Budget Worksheet'!B175)</f>
        <v>28084.16</v>
      </c>
      <c r="G175" s="62">
        <f t="shared" si="33"/>
        <v>48144.274285714288</v>
      </c>
      <c r="H175" s="85">
        <v>23075.381108333331</v>
      </c>
      <c r="I175" s="101">
        <f t="shared" si="27"/>
        <v>25068.893177380956</v>
      </c>
      <c r="J175" s="85">
        <v>30000</v>
      </c>
      <c r="K175" s="87">
        <f t="shared" si="28"/>
        <v>-6925</v>
      </c>
      <c r="L175" s="85">
        <v>31944.720000000001</v>
      </c>
      <c r="M175" s="86">
        <f t="shared" si="29"/>
        <v>-1944.7200000000012</v>
      </c>
      <c r="N175" s="85">
        <v>31944.720000000001</v>
      </c>
      <c r="O175" s="86">
        <f t="shared" si="29"/>
        <v>0</v>
      </c>
      <c r="P175" s="85">
        <v>39004.434000000008</v>
      </c>
      <c r="Q175" s="86">
        <f t="shared" si="30"/>
        <v>-7059.7140000000072</v>
      </c>
      <c r="R175" s="62">
        <f>_xlfn.XLOOKUP(B175,'Data (TB)'!$A$6:$A$554,'Data (TB)'!$E$6:$E$554,0)/'Data (TB)'!$C$2*12</f>
        <v>37445.546666666669</v>
      </c>
      <c r="S175" s="100">
        <f>SUMIFS(Chris!$G$5:$G$150,Chris!$A$5:$A$150,B175)</f>
        <v>38885.520000000004</v>
      </c>
      <c r="T175" s="87">
        <f t="shared" si="25"/>
        <v>1439.9733333333352</v>
      </c>
      <c r="U175" s="100">
        <f>SUMIFS(Chris!$H$5:$H$150,Chris!$A$5:$A$150,B175)</f>
        <v>30695.847519999999</v>
      </c>
      <c r="V175" s="86">
        <f t="shared" si="26"/>
        <v>6749.6991466666695</v>
      </c>
      <c r="X175" s="1">
        <f>MATCH(B175,'Master Budget'!$G$4:$G$360,0)</f>
        <v>287</v>
      </c>
    </row>
    <row r="176" spans="1:24" x14ac:dyDescent="0.25">
      <c r="A176" s="1">
        <v>166</v>
      </c>
      <c r="B176" s="1" t="s">
        <v>737</v>
      </c>
      <c r="C176" s="1" t="s">
        <v>108</v>
      </c>
      <c r="D176" s="1">
        <f>_xlfn.XLOOKUP(B176,'Master Budget'!$G$4:$G$210,'Master Budget'!$D$4:$D$210,0)</f>
        <v>0</v>
      </c>
      <c r="E176" s="22">
        <v>26033.26</v>
      </c>
      <c r="F176" s="84">
        <f>SUMIFS('Data (TB)'!$E$6:$E$524,'Data (TB)'!$A$6:$A$524,'Budget Worksheet'!B176)</f>
        <v>30726.81</v>
      </c>
      <c r="G176" s="62">
        <f t="shared" si="33"/>
        <v>52674.531428571434</v>
      </c>
      <c r="H176" s="85">
        <v>43334.661416597228</v>
      </c>
      <c r="I176" s="101">
        <f t="shared" si="27"/>
        <v>9339.8700119742061</v>
      </c>
      <c r="J176" s="85">
        <v>43335</v>
      </c>
      <c r="K176" s="87">
        <f t="shared" si="28"/>
        <v>0</v>
      </c>
      <c r="L176" s="85">
        <v>50232.110999999997</v>
      </c>
      <c r="M176" s="86">
        <f t="shared" si="29"/>
        <v>-6897.1109999999971</v>
      </c>
      <c r="N176" s="85">
        <v>50232.110999999997</v>
      </c>
      <c r="O176" s="86">
        <f t="shared" si="29"/>
        <v>0</v>
      </c>
      <c r="P176" s="85">
        <v>53007.742125000004</v>
      </c>
      <c r="Q176" s="86">
        <f t="shared" ref="Q176:Q207" si="34">L176-P176</f>
        <v>-2775.6311250000072</v>
      </c>
      <c r="R176" s="62">
        <f>_xlfn.XLOOKUP(B176,'Data (TB)'!$A$6:$A$554,'Data (TB)'!$E$6:$E$554,0)/'Data (TB)'!$C$2*12</f>
        <v>40969.08</v>
      </c>
      <c r="S176" s="100">
        <f>SUMIFS(Chris!$G$5:$G$150,Chris!$A$5:$A$150,B176)</f>
        <v>53023.255799999999</v>
      </c>
      <c r="T176" s="87">
        <f t="shared" si="25"/>
        <v>12054.175799999997</v>
      </c>
      <c r="U176" s="100">
        <f>SUMIFS(Chris!$H$5:$H$150,Chris!$A$5:$A$150,B176)</f>
        <v>114383.75237599999</v>
      </c>
      <c r="V176" s="86">
        <f t="shared" si="26"/>
        <v>-73414.672375999988</v>
      </c>
      <c r="X176" s="1">
        <f>MATCH(B176,'Master Budget'!$G$4:$G$360,0)</f>
        <v>288</v>
      </c>
    </row>
    <row r="177" spans="1:24" x14ac:dyDescent="0.25">
      <c r="A177" s="1">
        <v>167</v>
      </c>
      <c r="B177" s="1" t="s">
        <v>738</v>
      </c>
      <c r="C177" s="1" t="s">
        <v>110</v>
      </c>
      <c r="D177" s="1">
        <f>_xlfn.XLOOKUP(B177,'Master Budget'!$G$4:$G$210,'Master Budget'!$D$4:$D$210,0)</f>
        <v>0</v>
      </c>
      <c r="E177" s="22">
        <v>5077.3599999999997</v>
      </c>
      <c r="F177" s="84">
        <f>SUMIFS('Data (TB)'!$E$6:$E$524,'Data (TB)'!$A$6:$A$524,'Budget Worksheet'!B177)</f>
        <v>1005.24</v>
      </c>
      <c r="G177" s="62">
        <f t="shared" si="33"/>
        <v>1723.2685714285717</v>
      </c>
      <c r="H177" s="85">
        <v>6099.0569357458326</v>
      </c>
      <c r="I177" s="101">
        <f t="shared" si="27"/>
        <v>-4375.7883643172609</v>
      </c>
      <c r="J177" s="85">
        <v>6099</v>
      </c>
      <c r="K177" s="87">
        <f t="shared" si="28"/>
        <v>0</v>
      </c>
      <c r="L177" s="85">
        <v>4262.7552000000005</v>
      </c>
      <c r="M177" s="86">
        <f t="shared" si="29"/>
        <v>1836.2447999999995</v>
      </c>
      <c r="N177" s="85">
        <v>4262.7552000000005</v>
      </c>
      <c r="O177" s="86">
        <f t="shared" si="29"/>
        <v>0</v>
      </c>
      <c r="P177" s="85">
        <v>5007.4078656000002</v>
      </c>
      <c r="Q177" s="86">
        <f t="shared" si="34"/>
        <v>-744.65266559999964</v>
      </c>
      <c r="R177" s="62">
        <f>_xlfn.XLOOKUP(B177,'Data (TB)'!$A$6:$A$554,'Data (TB)'!$E$6:$E$554,0)/'Data (TB)'!$C$2*12</f>
        <v>1340.32</v>
      </c>
      <c r="S177" s="100">
        <f>SUMIFS(Chris!$G$5:$G$150,Chris!$A$5:$A$150,B177)</f>
        <v>4985.4406399999998</v>
      </c>
      <c r="T177" s="87">
        <f t="shared" si="25"/>
        <v>3645.1206400000001</v>
      </c>
      <c r="U177" s="100">
        <f>SUMIFS(Chris!$H$5:$H$150,Chris!$A$5:$A$150,B177)</f>
        <v>4006.0952379999999</v>
      </c>
      <c r="V177" s="86">
        <f t="shared" si="26"/>
        <v>-2665.7752380000002</v>
      </c>
      <c r="X177" s="1">
        <f>MATCH(B177,'Master Budget'!$G$4:$G$360,0)</f>
        <v>289</v>
      </c>
    </row>
    <row r="178" spans="1:24" x14ac:dyDescent="0.25">
      <c r="A178" s="1">
        <v>168</v>
      </c>
      <c r="B178" s="1" t="s">
        <v>739</v>
      </c>
      <c r="C178" s="1" t="s">
        <v>112</v>
      </c>
      <c r="D178" s="1">
        <f>_xlfn.XLOOKUP(B178,'Master Budget'!$G$4:$G$210,'Master Budget'!$D$4:$D$210,0)</f>
        <v>0</v>
      </c>
      <c r="E178" s="22">
        <v>20414.12</v>
      </c>
      <c r="F178" s="84">
        <f>SUMIFS('Data (TB)'!$E$6:$E$524,'Data (TB)'!$A$6:$A$524,'Budget Worksheet'!B178)</f>
        <v>12460.09</v>
      </c>
      <c r="G178" s="62">
        <f t="shared" si="33"/>
        <v>21360.154285714285</v>
      </c>
      <c r="H178" s="85">
        <v>0</v>
      </c>
      <c r="I178" s="101">
        <f t="shared" si="27"/>
        <v>21360.154285714285</v>
      </c>
      <c r="J178" s="85">
        <v>8000</v>
      </c>
      <c r="K178" s="87">
        <f t="shared" si="28"/>
        <v>-8000</v>
      </c>
      <c r="L178" s="85">
        <v>0</v>
      </c>
      <c r="M178" s="86">
        <f t="shared" si="29"/>
        <v>8000</v>
      </c>
      <c r="N178" s="85">
        <v>10000</v>
      </c>
      <c r="O178" s="86">
        <f t="shared" si="29"/>
        <v>-10000</v>
      </c>
      <c r="P178" s="85">
        <v>0</v>
      </c>
      <c r="Q178" s="86">
        <f t="shared" si="34"/>
        <v>0</v>
      </c>
      <c r="R178" s="62">
        <f>_xlfn.XLOOKUP(B178,'Data (TB)'!$A$6:$A$554,'Data (TB)'!$E$6:$E$554,0)/'Data (TB)'!$C$2*12</f>
        <v>16613.453333333335</v>
      </c>
      <c r="S178" s="100">
        <f>SUMIFS(Chris!$G$5:$G$150,Chris!$A$5:$A$150,B178)</f>
        <v>0</v>
      </c>
      <c r="T178" s="87">
        <f t="shared" si="25"/>
        <v>-16613.453333333335</v>
      </c>
      <c r="U178" s="100">
        <f>SUMIFS(Chris!$H$5:$H$150,Chris!$A$5:$A$150,B178)</f>
        <v>0</v>
      </c>
      <c r="V178" s="86">
        <f t="shared" si="26"/>
        <v>16613.453333333335</v>
      </c>
      <c r="X178" s="1">
        <f>MATCH(B178,'Master Budget'!$G$4:$G$360,0)</f>
        <v>290</v>
      </c>
    </row>
    <row r="179" spans="1:24" x14ac:dyDescent="0.25">
      <c r="A179" s="1">
        <v>169</v>
      </c>
      <c r="B179" s="1" t="s">
        <v>740</v>
      </c>
      <c r="C179" s="1" t="s">
        <v>114</v>
      </c>
      <c r="D179" s="1">
        <f>_xlfn.XLOOKUP(B179,'Master Budget'!$G$4:$G$210,'Master Budget'!$D$4:$D$210,0)</f>
        <v>0</v>
      </c>
      <c r="E179" s="95">
        <v>22.26</v>
      </c>
      <c r="F179" s="96">
        <f>SUMIFS('Data (TB)'!$E$6:$E$524,'Data (TB)'!$A$6:$A$524,'Budget Worksheet'!B179)</f>
        <v>9.86</v>
      </c>
      <c r="G179" s="97">
        <f t="shared" si="33"/>
        <v>16.902857142857144</v>
      </c>
      <c r="H179" s="98">
        <v>99</v>
      </c>
      <c r="I179" s="102">
        <f t="shared" si="27"/>
        <v>-82.097142857142856</v>
      </c>
      <c r="J179" s="98">
        <v>99</v>
      </c>
      <c r="K179" s="99">
        <f t="shared" si="28"/>
        <v>0</v>
      </c>
      <c r="L179" s="98">
        <v>72</v>
      </c>
      <c r="M179" s="86">
        <f t="shared" si="29"/>
        <v>27</v>
      </c>
      <c r="N179" s="98">
        <v>72</v>
      </c>
      <c r="O179" s="86">
        <f t="shared" si="29"/>
        <v>0</v>
      </c>
      <c r="P179" s="98">
        <v>76.800000000000011</v>
      </c>
      <c r="Q179" s="86">
        <f t="shared" si="34"/>
        <v>-4.8000000000000114</v>
      </c>
      <c r="R179" s="62">
        <f>_xlfn.XLOOKUP(B179,'Data (TB)'!$A$6:$A$554,'Data (TB)'!$E$6:$E$554,0)/'Data (TB)'!$C$2*12</f>
        <v>13.146666666666665</v>
      </c>
      <c r="S179" s="100">
        <f>SUMIFS(Chris!$G$5:$G$150,Chris!$A$5:$A$150,B179)</f>
        <v>76.800000000000011</v>
      </c>
      <c r="T179" s="87">
        <f t="shared" si="25"/>
        <v>63.65333333333335</v>
      </c>
      <c r="U179" s="100">
        <f>SUMIFS(Chris!$H$5:$H$150,Chris!$A$5:$A$150,B179)</f>
        <v>134.40000000000003</v>
      </c>
      <c r="V179" s="86">
        <f t="shared" si="26"/>
        <v>-121.25333333333337</v>
      </c>
      <c r="X179" s="1">
        <f>MATCH(B179,'Master Budget'!$G$4:$G$360,0)</f>
        <v>291</v>
      </c>
    </row>
    <row r="180" spans="1:24" x14ac:dyDescent="0.25">
      <c r="A180" s="1">
        <v>170</v>
      </c>
      <c r="B180" s="1" t="s">
        <v>741</v>
      </c>
      <c r="C180" s="1" t="s">
        <v>276</v>
      </c>
      <c r="D180" s="1">
        <f>_xlfn.XLOOKUP(B180,'Master Budget'!$G$4:$G$210,'Master Budget'!$D$4:$D$210,0)</f>
        <v>0</v>
      </c>
      <c r="E180" s="22">
        <v>0</v>
      </c>
      <c r="F180" s="84">
        <f>SUMIFS('Data (TB)'!$E$6:$E$524,'Data (TB)'!$A$6:$A$524,'Budget Worksheet'!B180)</f>
        <v>54.18</v>
      </c>
      <c r="G180" s="62">
        <f t="shared" si="33"/>
        <v>92.88</v>
      </c>
      <c r="H180" s="85">
        <v>0</v>
      </c>
      <c r="I180" s="86">
        <f t="shared" si="27"/>
        <v>92.88</v>
      </c>
      <c r="J180" s="85">
        <v>550</v>
      </c>
      <c r="K180" s="87">
        <f t="shared" si="28"/>
        <v>-550</v>
      </c>
      <c r="L180" s="85">
        <v>0</v>
      </c>
      <c r="M180" s="86">
        <f t="shared" si="29"/>
        <v>550</v>
      </c>
      <c r="N180" s="85">
        <v>600</v>
      </c>
      <c r="O180" s="86">
        <f t="shared" si="29"/>
        <v>-600</v>
      </c>
      <c r="P180" s="85">
        <v>600</v>
      </c>
      <c r="Q180" s="86">
        <f t="shared" si="34"/>
        <v>-600</v>
      </c>
      <c r="R180" s="62">
        <f>_xlfn.XLOOKUP(B180,'Data (TB)'!$A$6:$A$554,'Data (TB)'!$E$6:$E$554,0)/'Data (TB)'!$C$2*12</f>
        <v>72.239999999999995</v>
      </c>
      <c r="S180" s="100">
        <f>SUMIFS(Chris!$G$5:$G$150,Chris!$A$5:$A$150,B180)</f>
        <v>600</v>
      </c>
      <c r="T180" s="87">
        <f t="shared" si="25"/>
        <v>527.76</v>
      </c>
      <c r="U180" s="100">
        <f>SUMIFS(Chris!$H$5:$H$150,Chris!$A$5:$A$150,B180)</f>
        <v>600</v>
      </c>
      <c r="V180" s="86">
        <f t="shared" si="26"/>
        <v>-527.76</v>
      </c>
      <c r="X180" s="1">
        <f>MATCH(B180,'Master Budget'!$G$4:$G$360,0)</f>
        <v>292</v>
      </c>
    </row>
    <row r="181" spans="1:24" x14ac:dyDescent="0.25">
      <c r="B181" s="1" t="s">
        <v>742</v>
      </c>
      <c r="C181" s="1" t="s">
        <v>278</v>
      </c>
      <c r="E181" s="22"/>
      <c r="F181" s="84"/>
      <c r="G181" s="62"/>
      <c r="H181" s="85"/>
      <c r="I181" s="86"/>
      <c r="J181" s="85">
        <v>0</v>
      </c>
      <c r="K181" s="87">
        <f t="shared" ref="K181" si="35">ROUND(H181-J181,0)</f>
        <v>0</v>
      </c>
      <c r="L181" s="85">
        <v>0</v>
      </c>
      <c r="M181" s="86">
        <f t="shared" ref="M181:O181" si="36">J181-L181</f>
        <v>0</v>
      </c>
      <c r="N181" s="85">
        <v>0</v>
      </c>
      <c r="O181" s="86">
        <f t="shared" si="36"/>
        <v>0</v>
      </c>
      <c r="P181" s="85">
        <v>0</v>
      </c>
      <c r="Q181" s="86">
        <f t="shared" si="34"/>
        <v>0</v>
      </c>
      <c r="R181" s="62">
        <f>_xlfn.XLOOKUP(B181,'Data (TB)'!$A$6:$A$554,'Data (TB)'!$E$6:$E$554,0)/'Data (TB)'!$C$2*12</f>
        <v>0</v>
      </c>
      <c r="S181" s="100">
        <f>SUMIFS(Chris!$G$5:$G$150,Chris!$A$5:$A$150,B181)</f>
        <v>0</v>
      </c>
      <c r="T181" s="87">
        <f t="shared" si="25"/>
        <v>0</v>
      </c>
      <c r="U181" s="100">
        <f>SUMIFS(Chris!$H$5:$H$150,Chris!$A$5:$A$150,B181)</f>
        <v>0</v>
      </c>
      <c r="V181" s="86">
        <f t="shared" si="26"/>
        <v>0</v>
      </c>
      <c r="X181" s="1">
        <f>MATCH(B181,'Master Budget'!$G$4:$G$360,0)</f>
        <v>293</v>
      </c>
    </row>
    <row r="182" spans="1:24" x14ac:dyDescent="0.25">
      <c r="A182" s="1">
        <v>171</v>
      </c>
      <c r="B182" s="1" t="s">
        <v>743</v>
      </c>
      <c r="C182" s="1" t="s">
        <v>1054</v>
      </c>
      <c r="D182" s="1">
        <f>_xlfn.XLOOKUP(B182,'Master Budget'!$G$4:$G$210,'Master Budget'!$D$4:$D$210,0)</f>
        <v>0</v>
      </c>
      <c r="E182" s="22">
        <v>8210.9599999999991</v>
      </c>
      <c r="F182" s="84">
        <f>SUMIFS('Data (TB)'!$E$6:$E$524,'Data (TB)'!$A$6:$A$524,'Budget Worksheet'!B182)</f>
        <v>5671.47</v>
      </c>
      <c r="G182" s="62">
        <f t="shared" si="33"/>
        <v>9722.52</v>
      </c>
      <c r="H182" s="85">
        <v>5500</v>
      </c>
      <c r="I182" s="86">
        <f t="shared" si="27"/>
        <v>4222.5200000000004</v>
      </c>
      <c r="J182" s="85">
        <v>5500</v>
      </c>
      <c r="K182" s="87">
        <f t="shared" si="28"/>
        <v>0</v>
      </c>
      <c r="L182" s="85">
        <v>5500</v>
      </c>
      <c r="M182" s="86">
        <f t="shared" si="29"/>
        <v>0</v>
      </c>
      <c r="N182" s="85">
        <v>7000</v>
      </c>
      <c r="O182" s="86">
        <f t="shared" si="29"/>
        <v>-1500</v>
      </c>
      <c r="P182" s="85">
        <v>7000</v>
      </c>
      <c r="Q182" s="86">
        <f t="shared" si="34"/>
        <v>-1500</v>
      </c>
      <c r="R182" s="62">
        <f>_xlfn.XLOOKUP(B182,'Data (TB)'!$A$6:$A$554,'Data (TB)'!$E$6:$E$554,0)/'Data (TB)'!$C$2*12</f>
        <v>7561.9600000000009</v>
      </c>
      <c r="S182" s="100">
        <f>SUMIFS(Chris!$G$5:$G$150,Chris!$A$5:$A$150,B182)</f>
        <v>7000</v>
      </c>
      <c r="T182" s="87">
        <f t="shared" si="25"/>
        <v>-561.96000000000095</v>
      </c>
      <c r="U182" s="100">
        <f>SUMIFS(Chris!$H$5:$H$150,Chris!$A$5:$A$150,B182)</f>
        <v>7000</v>
      </c>
      <c r="V182" s="86">
        <f t="shared" si="26"/>
        <v>561.96000000000095</v>
      </c>
      <c r="X182" s="1">
        <f>MATCH(B182,'Master Budget'!$G$4:$G$360,0)</f>
        <v>294</v>
      </c>
    </row>
    <row r="183" spans="1:24" x14ac:dyDescent="0.25">
      <c r="A183" s="1">
        <v>172</v>
      </c>
      <c r="B183" s="1" t="s">
        <v>744</v>
      </c>
      <c r="C183" s="1" t="s">
        <v>120</v>
      </c>
      <c r="D183" s="1">
        <f>_xlfn.XLOOKUP(B183,'Master Budget'!$G$4:$G$210,'Master Budget'!$D$4:$D$210,0)</f>
        <v>0</v>
      </c>
      <c r="E183" s="95">
        <v>766.3</v>
      </c>
      <c r="F183" s="96">
        <f>SUMIFS('Data (TB)'!$E$6:$E$524,'Data (TB)'!$A$6:$A$524,'Budget Worksheet'!B183)</f>
        <v>8708.06</v>
      </c>
      <c r="G183" s="97">
        <f t="shared" si="33"/>
        <v>14928.102857142854</v>
      </c>
      <c r="H183" s="98">
        <v>0</v>
      </c>
      <c r="I183" s="86">
        <f t="shared" si="27"/>
        <v>14928.102857142854</v>
      </c>
      <c r="J183" s="98">
        <v>5300</v>
      </c>
      <c r="K183" s="99">
        <f t="shared" si="28"/>
        <v>-5300</v>
      </c>
      <c r="L183" s="98">
        <v>2800</v>
      </c>
      <c r="M183" s="86">
        <f t="shared" si="29"/>
        <v>2500</v>
      </c>
      <c r="N183" s="98">
        <v>2800</v>
      </c>
      <c r="O183" s="86">
        <f t="shared" si="29"/>
        <v>0</v>
      </c>
      <c r="P183" s="98">
        <v>2800</v>
      </c>
      <c r="Q183" s="86">
        <f t="shared" si="34"/>
        <v>0</v>
      </c>
      <c r="R183" s="62">
        <f>_xlfn.XLOOKUP(B183,'Data (TB)'!$A$6:$A$554,'Data (TB)'!$E$6:$E$554,0)/'Data (TB)'!$C$2*12</f>
        <v>11610.746666666666</v>
      </c>
      <c r="S183" s="100">
        <f>SUMIFS(Chris!$G$5:$G$150,Chris!$A$5:$A$150,B183)</f>
        <v>12000</v>
      </c>
      <c r="T183" s="87">
        <f t="shared" si="25"/>
        <v>389.25333333333401</v>
      </c>
      <c r="U183" s="100">
        <f>SUMIFS(Chris!$H$5:$H$150,Chris!$A$5:$A$150,B183)</f>
        <v>12000</v>
      </c>
      <c r="V183" s="86">
        <f t="shared" si="26"/>
        <v>-389.25333333333401</v>
      </c>
      <c r="X183" s="1">
        <f>MATCH(B183,'Master Budget'!$G$4:$G$360,0)</f>
        <v>295</v>
      </c>
    </row>
    <row r="184" spans="1:24" x14ac:dyDescent="0.25">
      <c r="A184" s="1">
        <v>173</v>
      </c>
      <c r="B184" s="1" t="s">
        <v>745</v>
      </c>
      <c r="C184" s="1" t="s">
        <v>124</v>
      </c>
      <c r="D184" s="1">
        <f>_xlfn.XLOOKUP(B184,'Master Budget'!$G$4:$G$210,'Master Budget'!$D$4:$D$210,0)</f>
        <v>0</v>
      </c>
      <c r="E184" s="22">
        <v>4785</v>
      </c>
      <c r="F184" s="84">
        <f>SUMIFS('Data (TB)'!$E$6:$E$524,'Data (TB)'!$A$6:$A$524,'Budget Worksheet'!B184)</f>
        <v>7418.56</v>
      </c>
      <c r="G184" s="62">
        <f t="shared" si="33"/>
        <v>12717.531428571428</v>
      </c>
      <c r="H184" s="85">
        <v>10000</v>
      </c>
      <c r="I184" s="86">
        <f t="shared" si="27"/>
        <v>2717.5314285714285</v>
      </c>
      <c r="J184" s="85">
        <v>10000</v>
      </c>
      <c r="K184" s="87">
        <f t="shared" si="28"/>
        <v>0</v>
      </c>
      <c r="L184" s="85">
        <v>10000</v>
      </c>
      <c r="M184" s="86">
        <f t="shared" si="29"/>
        <v>0</v>
      </c>
      <c r="N184" s="85">
        <v>10000</v>
      </c>
      <c r="O184" s="86">
        <f t="shared" si="29"/>
        <v>0</v>
      </c>
      <c r="P184" s="85">
        <v>10000</v>
      </c>
      <c r="Q184" s="86">
        <f t="shared" si="34"/>
        <v>0</v>
      </c>
      <c r="R184" s="62">
        <f>_xlfn.XLOOKUP(B184,'Data (TB)'!$A$6:$A$554,'Data (TB)'!$E$6:$E$554,0)/'Data (TB)'!$C$2*12</f>
        <v>9891.4133333333339</v>
      </c>
      <c r="S184" s="100">
        <f>SUMIFS(Chris!$G$5:$G$150,Chris!$A$5:$A$150,B184)</f>
        <v>10000</v>
      </c>
      <c r="T184" s="87">
        <f t="shared" si="25"/>
        <v>108.58666666666613</v>
      </c>
      <c r="U184" s="100">
        <f>SUMIFS(Chris!$H$5:$H$150,Chris!$A$5:$A$150,B184)</f>
        <v>10000</v>
      </c>
      <c r="V184" s="86">
        <f t="shared" si="26"/>
        <v>-108.58666666666613</v>
      </c>
      <c r="X184" s="1">
        <f>MATCH(B184,'Master Budget'!$G$4:$G$360,0)</f>
        <v>296</v>
      </c>
    </row>
    <row r="185" spans="1:24" x14ac:dyDescent="0.25">
      <c r="A185" s="1">
        <v>174</v>
      </c>
      <c r="B185" s="1" t="s">
        <v>746</v>
      </c>
      <c r="C185" s="1" t="s">
        <v>126</v>
      </c>
      <c r="D185" s="1">
        <f>_xlfn.XLOOKUP(B185,'Master Budget'!$G$4:$G$210,'Master Budget'!$D$4:$D$210,0)</f>
        <v>0</v>
      </c>
      <c r="E185" s="22">
        <v>14944.94</v>
      </c>
      <c r="F185" s="84">
        <f>SUMIFS('Data (TB)'!$E$6:$E$524,'Data (TB)'!$A$6:$A$524,'Budget Worksheet'!B185)</f>
        <v>2607.86</v>
      </c>
      <c r="G185" s="62">
        <f t="shared" si="33"/>
        <v>4470.6171428571433</v>
      </c>
      <c r="H185" s="85">
        <v>8000</v>
      </c>
      <c r="I185" s="86">
        <f t="shared" si="27"/>
        <v>-3529.3828571428567</v>
      </c>
      <c r="J185" s="85">
        <v>8000</v>
      </c>
      <c r="K185" s="87">
        <f t="shared" si="28"/>
        <v>0</v>
      </c>
      <c r="L185" s="85">
        <v>8000</v>
      </c>
      <c r="M185" s="86">
        <f t="shared" si="29"/>
        <v>0</v>
      </c>
      <c r="N185" s="85">
        <v>8000</v>
      </c>
      <c r="O185" s="86">
        <f t="shared" si="29"/>
        <v>0</v>
      </c>
      <c r="P185" s="85">
        <v>8000</v>
      </c>
      <c r="Q185" s="86">
        <f t="shared" si="34"/>
        <v>0</v>
      </c>
      <c r="R185" s="62">
        <f>_xlfn.XLOOKUP(B185,'Data (TB)'!$A$6:$A$554,'Data (TB)'!$E$6:$E$554,0)/'Data (TB)'!$C$2*12</f>
        <v>3477.146666666667</v>
      </c>
      <c r="S185" s="100">
        <f>SUMIFS(Chris!$G$5:$G$150,Chris!$A$5:$A$150,B185)</f>
        <v>8000</v>
      </c>
      <c r="T185" s="87">
        <f t="shared" si="25"/>
        <v>4522.8533333333326</v>
      </c>
      <c r="U185" s="100">
        <f>SUMIFS(Chris!$H$5:$H$150,Chris!$A$5:$A$150,B185)</f>
        <v>8000</v>
      </c>
      <c r="V185" s="86">
        <f t="shared" si="26"/>
        <v>-4522.8533333333326</v>
      </c>
      <c r="X185" s="1">
        <f>MATCH(B185,'Master Budget'!$G$4:$G$360,0)</f>
        <v>297</v>
      </c>
    </row>
    <row r="186" spans="1:24" x14ac:dyDescent="0.25">
      <c r="A186" s="1">
        <v>175</v>
      </c>
      <c r="B186" s="1" t="s">
        <v>747</v>
      </c>
      <c r="C186" s="1" t="s">
        <v>287</v>
      </c>
      <c r="D186" s="1">
        <f>_xlfn.XLOOKUP(B186,'Master Budget'!$G$4:$G$210,'Master Budget'!$D$4:$D$210,0)</f>
        <v>0</v>
      </c>
      <c r="E186" s="22">
        <v>2997</v>
      </c>
      <c r="F186" s="84">
        <f>SUMIFS('Data (TB)'!$E$6:$E$524,'Data (TB)'!$A$6:$A$524,'Budget Worksheet'!B186)</f>
        <v>2533.3000000000002</v>
      </c>
      <c r="G186" s="62">
        <f t="shared" si="33"/>
        <v>4342.8</v>
      </c>
      <c r="H186" s="85">
        <v>6000</v>
      </c>
      <c r="I186" s="86">
        <f t="shared" si="27"/>
        <v>-1657.1999999999998</v>
      </c>
      <c r="J186" s="85">
        <v>6000</v>
      </c>
      <c r="K186" s="87">
        <f t="shared" si="28"/>
        <v>0</v>
      </c>
      <c r="L186" s="85">
        <v>6000</v>
      </c>
      <c r="M186" s="86">
        <f t="shared" si="29"/>
        <v>0</v>
      </c>
      <c r="N186" s="85">
        <v>6000</v>
      </c>
      <c r="O186" s="86">
        <f t="shared" si="29"/>
        <v>0</v>
      </c>
      <c r="P186" s="85">
        <v>6000</v>
      </c>
      <c r="Q186" s="86">
        <f t="shared" si="34"/>
        <v>0</v>
      </c>
      <c r="R186" s="62">
        <f>_xlfn.XLOOKUP(B186,'Data (TB)'!$A$6:$A$554,'Data (TB)'!$E$6:$E$554,0)/'Data (TB)'!$C$2*12</f>
        <v>3377.7333333333336</v>
      </c>
      <c r="S186" s="100">
        <f>SUMIFS(Chris!$G$5:$G$150,Chris!$A$5:$A$150,B186)</f>
        <v>6000</v>
      </c>
      <c r="T186" s="87">
        <f t="shared" si="25"/>
        <v>2622.2666666666664</v>
      </c>
      <c r="U186" s="100">
        <f>SUMIFS(Chris!$H$5:$H$150,Chris!$A$5:$A$150,B186)</f>
        <v>6000</v>
      </c>
      <c r="V186" s="86">
        <f t="shared" si="26"/>
        <v>-2622.2666666666664</v>
      </c>
      <c r="X186" s="1">
        <f>MATCH(B186,'Master Budget'!$G$4:$G$360,0)</f>
        <v>298</v>
      </c>
    </row>
    <row r="187" spans="1:24" x14ac:dyDescent="0.25">
      <c r="A187" s="1">
        <v>176</v>
      </c>
      <c r="B187" s="1" t="s">
        <v>748</v>
      </c>
      <c r="C187" s="1" t="s">
        <v>132</v>
      </c>
      <c r="D187" s="1">
        <f>_xlfn.XLOOKUP(B187,'Master Budget'!$G$4:$G$210,'Master Budget'!$D$4:$D$210,0)</f>
        <v>0</v>
      </c>
      <c r="E187" s="22">
        <v>1142.27</v>
      </c>
      <c r="F187" s="84">
        <f>SUMIFS('Data (TB)'!$E$6:$E$524,'Data (TB)'!$A$6:$A$524,'Budget Worksheet'!B187)</f>
        <v>2815.98</v>
      </c>
      <c r="G187" s="62">
        <f t="shared" si="33"/>
        <v>4827.3942857142856</v>
      </c>
      <c r="H187" s="85">
        <v>10000</v>
      </c>
      <c r="I187" s="86">
        <f t="shared" si="27"/>
        <v>-5172.6057142857144</v>
      </c>
      <c r="J187" s="85">
        <v>10000</v>
      </c>
      <c r="K187" s="87">
        <f t="shared" si="28"/>
        <v>0</v>
      </c>
      <c r="L187" s="85">
        <v>10000</v>
      </c>
      <c r="M187" s="86">
        <f t="shared" si="29"/>
        <v>0</v>
      </c>
      <c r="N187" s="85">
        <v>100000</v>
      </c>
      <c r="O187" s="86">
        <f t="shared" si="29"/>
        <v>-90000</v>
      </c>
      <c r="P187" s="85">
        <v>100000</v>
      </c>
      <c r="Q187" s="86">
        <f t="shared" si="34"/>
        <v>-90000</v>
      </c>
      <c r="R187" s="62">
        <f>_xlfn.XLOOKUP(B187,'Data (TB)'!$A$6:$A$554,'Data (TB)'!$E$6:$E$554,0)/'Data (TB)'!$C$2*12</f>
        <v>3754.64</v>
      </c>
      <c r="S187" s="100">
        <f>SUMIFS(Chris!$G$5:$G$150,Chris!$A$5:$A$150,B187)</f>
        <v>100000</v>
      </c>
      <c r="T187" s="87">
        <f t="shared" si="25"/>
        <v>96245.36</v>
      </c>
      <c r="U187" s="100">
        <f>SUMIFS(Chris!$H$5:$H$150,Chris!$A$5:$A$150,B187)</f>
        <v>100000</v>
      </c>
      <c r="V187" s="86">
        <f t="shared" si="26"/>
        <v>-96245.36</v>
      </c>
      <c r="X187" s="1">
        <f>MATCH(B187,'Master Budget'!$G$4:$G$360,0)</f>
        <v>299</v>
      </c>
    </row>
    <row r="188" spans="1:24" x14ac:dyDescent="0.25">
      <c r="A188" s="1">
        <v>177</v>
      </c>
      <c r="B188" s="1" t="s">
        <v>749</v>
      </c>
      <c r="C188" s="1" t="s">
        <v>291</v>
      </c>
      <c r="D188" s="1">
        <f>_xlfn.XLOOKUP(B188,'Master Budget'!$G$4:$G$210,'Master Budget'!$D$4:$D$210,0)</f>
        <v>0</v>
      </c>
      <c r="E188" s="22">
        <v>0</v>
      </c>
      <c r="F188" s="84">
        <f>SUMIFS('Data (TB)'!$E$6:$E$524,'Data (TB)'!$A$6:$A$524,'Budget Worksheet'!B188)</f>
        <v>31.2</v>
      </c>
      <c r="G188" s="62">
        <f t="shared" si="33"/>
        <v>53.485714285714288</v>
      </c>
      <c r="H188" s="85">
        <v>500</v>
      </c>
      <c r="I188" s="86">
        <f t="shared" si="27"/>
        <v>-446.51428571428573</v>
      </c>
      <c r="J188" s="85">
        <v>500</v>
      </c>
      <c r="K188" s="87">
        <f t="shared" si="28"/>
        <v>0</v>
      </c>
      <c r="L188" s="85">
        <v>500</v>
      </c>
      <c r="M188" s="86">
        <f t="shared" si="29"/>
        <v>0</v>
      </c>
      <c r="N188" s="85">
        <v>500</v>
      </c>
      <c r="O188" s="86">
        <f t="shared" si="29"/>
        <v>0</v>
      </c>
      <c r="P188" s="85">
        <v>500</v>
      </c>
      <c r="Q188" s="86">
        <f t="shared" si="34"/>
        <v>0</v>
      </c>
      <c r="R188" s="62">
        <f>_xlfn.XLOOKUP(B188,'Data (TB)'!$A$6:$A$554,'Data (TB)'!$E$6:$E$554,0)/'Data (TB)'!$C$2*12</f>
        <v>41.6</v>
      </c>
      <c r="S188" s="100">
        <f>SUMIFS(Chris!$G$5:$G$150,Chris!$A$5:$A$150,B188)</f>
        <v>500</v>
      </c>
      <c r="T188" s="87">
        <f t="shared" si="25"/>
        <v>458.4</v>
      </c>
      <c r="U188" s="100">
        <f>SUMIFS(Chris!$H$5:$H$150,Chris!$A$5:$A$150,B188)</f>
        <v>500</v>
      </c>
      <c r="V188" s="86">
        <f t="shared" si="26"/>
        <v>-458.4</v>
      </c>
      <c r="X188" s="1">
        <f>MATCH(B188,'Master Budget'!$G$4:$G$360,0)</f>
        <v>300</v>
      </c>
    </row>
    <row r="189" spans="1:24" x14ac:dyDescent="0.25">
      <c r="B189" s="1" t="s">
        <v>750</v>
      </c>
      <c r="C189" s="1" t="s">
        <v>295</v>
      </c>
      <c r="E189" s="22"/>
      <c r="F189" s="84"/>
      <c r="G189" s="62"/>
      <c r="H189" s="85"/>
      <c r="I189" s="86">
        <f t="shared" ref="I189" si="37">-H189+G189</f>
        <v>0</v>
      </c>
      <c r="J189" s="85">
        <v>0</v>
      </c>
      <c r="K189" s="87">
        <f t="shared" ref="K189" si="38">ROUND(H189-J189,0)</f>
        <v>0</v>
      </c>
      <c r="L189" s="85">
        <v>0</v>
      </c>
      <c r="M189" s="86">
        <f t="shared" ref="M189:O189" si="39">J189-L189</f>
        <v>0</v>
      </c>
      <c r="N189" s="85">
        <v>0</v>
      </c>
      <c r="O189" s="86">
        <f t="shared" si="39"/>
        <v>0</v>
      </c>
      <c r="P189" s="85">
        <v>0</v>
      </c>
      <c r="Q189" s="86">
        <f t="shared" si="34"/>
        <v>0</v>
      </c>
      <c r="R189" s="62">
        <f>_xlfn.XLOOKUP(B189,'Data (TB)'!$A$6:$A$554,'Data (TB)'!$E$6:$E$554,0)/'Data (TB)'!$C$2*12</f>
        <v>0</v>
      </c>
      <c r="S189" s="100">
        <f>SUMIFS(Chris!$G$5:$G$150,Chris!$A$5:$A$150,B189)</f>
        <v>0</v>
      </c>
      <c r="T189" s="87">
        <f t="shared" si="25"/>
        <v>0</v>
      </c>
      <c r="U189" s="100">
        <f>SUMIFS(Chris!$H$5:$H$150,Chris!$A$5:$A$150,B189)</f>
        <v>0</v>
      </c>
      <c r="V189" s="86">
        <f t="shared" si="26"/>
        <v>0</v>
      </c>
      <c r="X189" s="1">
        <f>MATCH(B189,'Master Budget'!$G$4:$G$360,0)</f>
        <v>301</v>
      </c>
    </row>
    <row r="190" spans="1:24" x14ac:dyDescent="0.25">
      <c r="A190" s="1">
        <v>178</v>
      </c>
      <c r="B190" s="1" t="s">
        <v>751</v>
      </c>
      <c r="C190" s="1" t="s">
        <v>297</v>
      </c>
      <c r="D190" s="1">
        <f>_xlfn.XLOOKUP(B190,'Master Budget'!$G$4:$G$210,'Master Budget'!$D$4:$D$210,0)</f>
        <v>0</v>
      </c>
      <c r="E190" s="22">
        <v>3809.89</v>
      </c>
      <c r="F190" s="84">
        <f>SUMIFS('Data (TB)'!$E$6:$E$524,'Data (TB)'!$A$6:$A$524,'Budget Worksheet'!B190)</f>
        <v>4518.37</v>
      </c>
      <c r="G190" s="62">
        <f t="shared" si="33"/>
        <v>7745.7771428571423</v>
      </c>
      <c r="H190" s="85">
        <v>6500</v>
      </c>
      <c r="I190" s="86">
        <f t="shared" si="27"/>
        <v>1245.7771428571423</v>
      </c>
      <c r="J190" s="85">
        <v>6500</v>
      </c>
      <c r="K190" s="87">
        <f t="shared" si="28"/>
        <v>0</v>
      </c>
      <c r="L190" s="85">
        <v>6500</v>
      </c>
      <c r="M190" s="86">
        <f t="shared" si="29"/>
        <v>0</v>
      </c>
      <c r="N190" s="85">
        <v>6500</v>
      </c>
      <c r="O190" s="86">
        <f t="shared" si="29"/>
        <v>0</v>
      </c>
      <c r="P190" s="85">
        <v>6500</v>
      </c>
      <c r="Q190" s="86">
        <f t="shared" si="34"/>
        <v>0</v>
      </c>
      <c r="R190" s="62">
        <f>_xlfn.XLOOKUP(B190,'Data (TB)'!$A$6:$A$554,'Data (TB)'!$E$6:$E$554,0)/'Data (TB)'!$C$2*12</f>
        <v>6024.4933333333329</v>
      </c>
      <c r="S190" s="100">
        <f>SUMIFS(Chris!$G$5:$G$150,Chris!$A$5:$A$150,B190)</f>
        <v>6500</v>
      </c>
      <c r="T190" s="87">
        <f t="shared" si="25"/>
        <v>475.50666666666712</v>
      </c>
      <c r="U190" s="100">
        <f>SUMIFS(Chris!$H$5:$H$150,Chris!$A$5:$A$150,B190)</f>
        <v>6500</v>
      </c>
      <c r="V190" s="86">
        <f t="shared" si="26"/>
        <v>-475.50666666666712</v>
      </c>
      <c r="X190" s="1">
        <f>MATCH(B190,'Master Budget'!$G$4:$G$360,0)</f>
        <v>302</v>
      </c>
    </row>
    <row r="191" spans="1:24" x14ac:dyDescent="0.25">
      <c r="A191" s="1">
        <v>179</v>
      </c>
      <c r="B191" s="1" t="s">
        <v>752</v>
      </c>
      <c r="C191" s="1" t="s">
        <v>303</v>
      </c>
      <c r="D191" s="1">
        <f>_xlfn.XLOOKUP(B191,'Master Budget'!$G$4:$G$210,'Master Budget'!$D$4:$D$210,0)</f>
        <v>0</v>
      </c>
      <c r="E191" s="22">
        <v>13748.33</v>
      </c>
      <c r="F191" s="84">
        <f>SUMIFS('Data (TB)'!$E$6:$E$524,'Data (TB)'!$A$6:$A$524,'Budget Worksheet'!B191)</f>
        <v>18479.64</v>
      </c>
      <c r="G191" s="62">
        <f t="shared" si="33"/>
        <v>31679.38285714286</v>
      </c>
      <c r="H191" s="85">
        <v>13800</v>
      </c>
      <c r="I191" s="103">
        <f t="shared" si="27"/>
        <v>17879.38285714286</v>
      </c>
      <c r="J191" s="85">
        <v>13800</v>
      </c>
      <c r="K191" s="87">
        <f t="shared" si="28"/>
        <v>0</v>
      </c>
      <c r="L191" s="85">
        <v>13800</v>
      </c>
      <c r="M191" s="86">
        <f t="shared" si="29"/>
        <v>0</v>
      </c>
      <c r="N191" s="85">
        <v>20000</v>
      </c>
      <c r="O191" s="86">
        <f t="shared" si="29"/>
        <v>-6200</v>
      </c>
      <c r="P191" s="85">
        <v>20000</v>
      </c>
      <c r="Q191" s="86">
        <f t="shared" si="34"/>
        <v>-6200</v>
      </c>
      <c r="R191" s="62">
        <f>_xlfn.XLOOKUP(B191,'Data (TB)'!$A$6:$A$554,'Data (TB)'!$E$6:$E$554,0)/'Data (TB)'!$C$2*12</f>
        <v>24639.519999999997</v>
      </c>
      <c r="S191" s="100">
        <f>SUMIFS(Chris!$G$5:$G$150,Chris!$A$5:$A$150,B191)</f>
        <v>20000</v>
      </c>
      <c r="T191" s="87">
        <f t="shared" si="25"/>
        <v>-4639.5199999999968</v>
      </c>
      <c r="U191" s="100">
        <f>SUMIFS(Chris!$H$5:$H$150,Chris!$A$5:$A$150,B191)</f>
        <v>20000</v>
      </c>
      <c r="V191" s="86">
        <f t="shared" si="26"/>
        <v>4639.5199999999968</v>
      </c>
      <c r="X191" s="1">
        <f>MATCH(B191,'Master Budget'!$G$4:$G$360,0)</f>
        <v>303</v>
      </c>
    </row>
    <row r="192" spans="1:24" x14ac:dyDescent="0.25">
      <c r="A192" s="1">
        <v>180</v>
      </c>
      <c r="B192" s="1" t="s">
        <v>753</v>
      </c>
      <c r="C192" s="1" t="s">
        <v>754</v>
      </c>
      <c r="D192" s="1">
        <f>_xlfn.XLOOKUP(B192,'Master Budget'!$G$4:$G$210,'Master Budget'!$D$4:$D$210,0)</f>
        <v>0</v>
      </c>
      <c r="E192" s="22">
        <v>573.26</v>
      </c>
      <c r="F192" s="84">
        <f>SUMIFS('Data (TB)'!$E$6:$E$524,'Data (TB)'!$A$6:$A$524,'Budget Worksheet'!B192)</f>
        <v>1012.84</v>
      </c>
      <c r="G192" s="62">
        <f t="shared" si="33"/>
        <v>1736.2971428571432</v>
      </c>
      <c r="H192" s="85">
        <v>800</v>
      </c>
      <c r="I192" s="86">
        <f t="shared" si="27"/>
        <v>936.29714285714317</v>
      </c>
      <c r="J192" s="85">
        <v>1850</v>
      </c>
      <c r="K192" s="87">
        <f t="shared" si="28"/>
        <v>-1050</v>
      </c>
      <c r="L192" s="85">
        <v>1000</v>
      </c>
      <c r="M192" s="86">
        <f t="shared" si="29"/>
        <v>850</v>
      </c>
      <c r="N192" s="85">
        <v>1850</v>
      </c>
      <c r="O192" s="86">
        <f t="shared" si="29"/>
        <v>-850</v>
      </c>
      <c r="P192" s="85">
        <v>1850</v>
      </c>
      <c r="Q192" s="86">
        <f t="shared" si="34"/>
        <v>-850</v>
      </c>
      <c r="R192" s="62">
        <f>_xlfn.XLOOKUP(B192,'Data (TB)'!$A$6:$A$554,'Data (TB)'!$E$6:$E$554,0)/'Data (TB)'!$C$2*12</f>
        <v>1350.4533333333334</v>
      </c>
      <c r="S192" s="100">
        <f>SUMIFS(Chris!$G$5:$G$150,Chris!$A$5:$A$150,B192)</f>
        <v>1850</v>
      </c>
      <c r="T192" s="87">
        <f t="shared" si="25"/>
        <v>499.54666666666662</v>
      </c>
      <c r="U192" s="100">
        <f>SUMIFS(Chris!$H$5:$H$150,Chris!$A$5:$A$150,B192)</f>
        <v>1850</v>
      </c>
      <c r="V192" s="86">
        <f t="shared" si="26"/>
        <v>-499.54666666666662</v>
      </c>
      <c r="X192" s="1">
        <f>MATCH(B192,'Master Budget'!$G$4:$G$360,0)</f>
        <v>304</v>
      </c>
    </row>
    <row r="193" spans="1:24" x14ac:dyDescent="0.25">
      <c r="A193" s="1">
        <v>181</v>
      </c>
      <c r="B193" s="1" t="s">
        <v>755</v>
      </c>
      <c r="C193" s="1" t="s">
        <v>311</v>
      </c>
      <c r="D193" s="1">
        <f>_xlfn.XLOOKUP(B193,'Master Budget'!$G$4:$G$210,'Master Budget'!$D$4:$D$210,0)</f>
        <v>0</v>
      </c>
      <c r="E193" s="22">
        <v>1958.61</v>
      </c>
      <c r="F193" s="84">
        <f>SUMIFS('Data (TB)'!$E$6:$E$524,'Data (TB)'!$A$6:$A$524,'Budget Worksheet'!B193)</f>
        <v>2275.44</v>
      </c>
      <c r="G193" s="62">
        <f t="shared" si="33"/>
        <v>3900.7542857142853</v>
      </c>
      <c r="H193" s="85">
        <v>3000</v>
      </c>
      <c r="I193" s="86">
        <f t="shared" si="27"/>
        <v>900.75428571428529</v>
      </c>
      <c r="J193" s="85">
        <v>3000</v>
      </c>
      <c r="K193" s="87">
        <f t="shared" si="28"/>
        <v>0</v>
      </c>
      <c r="L193" s="85">
        <v>3000</v>
      </c>
      <c r="M193" s="86">
        <f t="shared" si="29"/>
        <v>0</v>
      </c>
      <c r="N193" s="85">
        <v>3000</v>
      </c>
      <c r="O193" s="86">
        <f t="shared" si="29"/>
        <v>0</v>
      </c>
      <c r="P193" s="85">
        <v>3000</v>
      </c>
      <c r="Q193" s="86">
        <f t="shared" si="34"/>
        <v>0</v>
      </c>
      <c r="R193" s="62">
        <f>_xlfn.XLOOKUP(B193,'Data (TB)'!$A$6:$A$554,'Data (TB)'!$E$6:$E$554,0)/'Data (TB)'!$C$2*12</f>
        <v>3033.92</v>
      </c>
      <c r="S193" s="100">
        <f>SUMIFS(Chris!$G$5:$G$150,Chris!$A$5:$A$150,B193)</f>
        <v>3500</v>
      </c>
      <c r="T193" s="87">
        <f t="shared" si="25"/>
        <v>466.07999999999993</v>
      </c>
      <c r="U193" s="100">
        <f>SUMIFS(Chris!$H$5:$H$150,Chris!$A$5:$A$150,B193)</f>
        <v>3500</v>
      </c>
      <c r="V193" s="86">
        <f t="shared" si="26"/>
        <v>-466.07999999999993</v>
      </c>
      <c r="X193" s="1">
        <f>MATCH(B193,'Master Budget'!$G$4:$G$360,0)</f>
        <v>305</v>
      </c>
    </row>
    <row r="194" spans="1:24" x14ac:dyDescent="0.25">
      <c r="A194" s="1">
        <v>182</v>
      </c>
      <c r="B194" s="1" t="s">
        <v>756</v>
      </c>
      <c r="C194" s="1" t="s">
        <v>313</v>
      </c>
      <c r="D194" s="1">
        <f>_xlfn.XLOOKUP(B194,'Master Budget'!$G$4:$G$210,'Master Budget'!$D$4:$D$210,0)</f>
        <v>0</v>
      </c>
      <c r="E194" s="22">
        <v>7936.61</v>
      </c>
      <c r="F194" s="84">
        <f>SUMIFS('Data (TB)'!$E$6:$E$524,'Data (TB)'!$A$6:$A$524,'Budget Worksheet'!B194)</f>
        <v>9338.35</v>
      </c>
      <c r="G194" s="62">
        <f t="shared" si="33"/>
        <v>16008.599999999999</v>
      </c>
      <c r="H194" s="85">
        <v>4000</v>
      </c>
      <c r="I194" s="86">
        <f t="shared" si="27"/>
        <v>12008.599999999999</v>
      </c>
      <c r="J194" s="85">
        <v>8000</v>
      </c>
      <c r="K194" s="87">
        <f t="shared" si="28"/>
        <v>-4000</v>
      </c>
      <c r="L194" s="85">
        <v>4000</v>
      </c>
      <c r="M194" s="86">
        <f t="shared" si="29"/>
        <v>4000</v>
      </c>
      <c r="N194" s="85">
        <v>4000</v>
      </c>
      <c r="O194" s="86">
        <f t="shared" si="29"/>
        <v>0</v>
      </c>
      <c r="P194" s="85">
        <v>4000</v>
      </c>
      <c r="Q194" s="86">
        <f t="shared" si="34"/>
        <v>0</v>
      </c>
      <c r="R194" s="62">
        <f>_xlfn.XLOOKUP(B194,'Data (TB)'!$A$6:$A$554,'Data (TB)'!$E$6:$E$554,0)/'Data (TB)'!$C$2*12</f>
        <v>12451.133333333333</v>
      </c>
      <c r="S194" s="100">
        <f>SUMIFS(Chris!$G$5:$G$150,Chris!$A$5:$A$150,B194)</f>
        <v>15000</v>
      </c>
      <c r="T194" s="87">
        <f t="shared" si="25"/>
        <v>2548.8666666666668</v>
      </c>
      <c r="U194" s="100">
        <f>SUMIFS(Chris!$H$5:$H$150,Chris!$A$5:$A$150,B194)</f>
        <v>5000</v>
      </c>
      <c r="V194" s="86">
        <f t="shared" si="26"/>
        <v>7451.1333333333332</v>
      </c>
      <c r="X194" s="1">
        <f>MATCH(B194,'Master Budget'!$G$4:$G$360,0)</f>
        <v>306</v>
      </c>
    </row>
    <row r="195" spans="1:24" x14ac:dyDescent="0.25">
      <c r="A195" s="1">
        <v>183</v>
      </c>
      <c r="B195" s="1" t="s">
        <v>757</v>
      </c>
      <c r="C195" s="1" t="s">
        <v>498</v>
      </c>
      <c r="D195" s="1">
        <f>_xlfn.XLOOKUP(B195,'Master Budget'!$G$4:$G$210,'Master Budget'!$D$4:$D$210,0)</f>
        <v>0</v>
      </c>
      <c r="E195" s="22">
        <v>0</v>
      </c>
      <c r="F195" s="84">
        <f>SUMIFS('Data (TB)'!$E$6:$E$524,'Data (TB)'!$A$6:$A$524,'Budget Worksheet'!B195)</f>
        <v>0</v>
      </c>
      <c r="G195" s="62">
        <f t="shared" si="33"/>
        <v>0</v>
      </c>
      <c r="H195" s="85">
        <v>0</v>
      </c>
      <c r="I195" s="86">
        <f t="shared" si="27"/>
        <v>0</v>
      </c>
      <c r="J195" s="85">
        <v>0</v>
      </c>
      <c r="K195" s="87">
        <f t="shared" si="28"/>
        <v>0</v>
      </c>
      <c r="L195" s="85">
        <v>20000</v>
      </c>
      <c r="M195" s="86">
        <f t="shared" si="29"/>
        <v>-20000</v>
      </c>
      <c r="N195" s="85">
        <v>20000</v>
      </c>
      <c r="O195" s="86">
        <f t="shared" si="29"/>
        <v>0</v>
      </c>
      <c r="P195" s="85">
        <v>20000</v>
      </c>
      <c r="Q195" s="86">
        <f t="shared" si="34"/>
        <v>0</v>
      </c>
      <c r="R195" s="62">
        <f>_xlfn.XLOOKUP(B195,'Data (TB)'!$A$6:$A$554,'Data (TB)'!$E$6:$E$554,0)/'Data (TB)'!$C$2*12</f>
        <v>0</v>
      </c>
      <c r="S195" s="100">
        <f>SUMIFS(Chris!$G$5:$G$150,Chris!$A$5:$A$150,B195)</f>
        <v>0</v>
      </c>
      <c r="T195" s="87">
        <f t="shared" si="25"/>
        <v>0</v>
      </c>
      <c r="U195" s="100">
        <f>SUMIFS(Chris!$H$5:$H$150,Chris!$A$5:$A$150,B195)</f>
        <v>0</v>
      </c>
      <c r="V195" s="86">
        <f t="shared" si="26"/>
        <v>0</v>
      </c>
      <c r="X195" s="1">
        <f>MATCH(B195,'Master Budget'!$G$4:$G$360,0)</f>
        <v>308</v>
      </c>
    </row>
    <row r="196" spans="1:24" x14ac:dyDescent="0.25">
      <c r="A196" s="1">
        <v>184</v>
      </c>
      <c r="B196" s="1" t="s">
        <v>758</v>
      </c>
      <c r="C196" s="1" t="s">
        <v>322</v>
      </c>
      <c r="D196" s="1">
        <f>_xlfn.XLOOKUP(B196,'Master Budget'!$G$4:$G$210,'Master Budget'!$D$4:$D$210,0)</f>
        <v>0</v>
      </c>
      <c r="E196" s="22">
        <v>4176.1099999999997</v>
      </c>
      <c r="F196" s="84">
        <f>SUMIFS('Data (TB)'!$E$6:$E$524,'Data (TB)'!$A$6:$A$524,'Budget Worksheet'!B196)</f>
        <v>0</v>
      </c>
      <c r="G196" s="62">
        <f t="shared" si="33"/>
        <v>0</v>
      </c>
      <c r="H196" s="85">
        <v>8000</v>
      </c>
      <c r="I196" s="86">
        <f t="shared" si="27"/>
        <v>-8000</v>
      </c>
      <c r="J196" s="85">
        <v>8000</v>
      </c>
      <c r="K196" s="87">
        <f t="shared" si="28"/>
        <v>0</v>
      </c>
      <c r="L196" s="85">
        <v>8000</v>
      </c>
      <c r="M196" s="86">
        <f t="shared" si="29"/>
        <v>0</v>
      </c>
      <c r="N196" s="85">
        <v>8000</v>
      </c>
      <c r="O196" s="86">
        <f t="shared" si="29"/>
        <v>0</v>
      </c>
      <c r="P196" s="85">
        <v>8000</v>
      </c>
      <c r="Q196" s="86">
        <f t="shared" si="34"/>
        <v>0</v>
      </c>
      <c r="R196" s="62">
        <f>_xlfn.XLOOKUP(B196,'Data (TB)'!$A$6:$A$554,'Data (TB)'!$E$6:$E$554,0)/'Data (TB)'!$C$2*12</f>
        <v>0</v>
      </c>
      <c r="S196" s="100">
        <f>SUMIFS(Chris!$G$5:$G$150,Chris!$A$5:$A$150,B196)</f>
        <v>0</v>
      </c>
      <c r="T196" s="87">
        <f t="shared" si="25"/>
        <v>0</v>
      </c>
      <c r="U196" s="100">
        <f>SUMIFS(Chris!$H$5:$H$150,Chris!$A$5:$A$150,B196)</f>
        <v>0</v>
      </c>
      <c r="V196" s="86">
        <f t="shared" si="26"/>
        <v>0</v>
      </c>
      <c r="X196" s="1">
        <f>MATCH(B196,'Master Budget'!$G$4:$G$360,0)</f>
        <v>309</v>
      </c>
    </row>
    <row r="197" spans="1:24" x14ac:dyDescent="0.25">
      <c r="A197" s="1">
        <v>185</v>
      </c>
      <c r="B197" s="1" t="s">
        <v>759</v>
      </c>
      <c r="C197" s="1" t="s">
        <v>327</v>
      </c>
      <c r="D197" s="1">
        <f>_xlfn.XLOOKUP(B197,'Master Budget'!$G$4:$G$210,'Master Budget'!$D$4:$D$210,0)</f>
        <v>0</v>
      </c>
      <c r="E197" s="22">
        <v>4583.09</v>
      </c>
      <c r="F197" s="84">
        <f>SUMIFS('Data (TB)'!$E$6:$E$524,'Data (TB)'!$A$6:$A$524,'Budget Worksheet'!B197)</f>
        <v>2897.27</v>
      </c>
      <c r="G197" s="62">
        <f t="shared" si="33"/>
        <v>4966.7485714285713</v>
      </c>
      <c r="H197" s="85">
        <v>3900</v>
      </c>
      <c r="I197" s="86">
        <f t="shared" si="27"/>
        <v>1066.7485714285713</v>
      </c>
      <c r="J197" s="85">
        <v>3900</v>
      </c>
      <c r="K197" s="87">
        <f t="shared" si="28"/>
        <v>0</v>
      </c>
      <c r="L197" s="85">
        <v>3900</v>
      </c>
      <c r="M197" s="86">
        <f t="shared" si="29"/>
        <v>0</v>
      </c>
      <c r="N197" s="85">
        <v>3900</v>
      </c>
      <c r="O197" s="86">
        <f t="shared" si="29"/>
        <v>0</v>
      </c>
      <c r="P197" s="85">
        <v>3900</v>
      </c>
      <c r="Q197" s="86">
        <f t="shared" si="34"/>
        <v>0</v>
      </c>
      <c r="R197" s="62">
        <f>_xlfn.XLOOKUP(B197,'Data (TB)'!$A$6:$A$554,'Data (TB)'!$E$6:$E$554,0)/'Data (TB)'!$C$2*12</f>
        <v>3863.0266666666666</v>
      </c>
      <c r="S197" s="100">
        <f>SUMIFS(Chris!$G$5:$G$150,Chris!$A$5:$A$150,B197)</f>
        <v>3900</v>
      </c>
      <c r="T197" s="87">
        <f t="shared" si="25"/>
        <v>36.973333333333358</v>
      </c>
      <c r="U197" s="100">
        <f>SUMIFS(Chris!$H$5:$H$150,Chris!$A$5:$A$150,B197)</f>
        <v>3900</v>
      </c>
      <c r="V197" s="86">
        <f t="shared" si="26"/>
        <v>-36.973333333333358</v>
      </c>
      <c r="X197" s="1">
        <f>MATCH(B197,'Master Budget'!$G$4:$G$360,0)</f>
        <v>310</v>
      </c>
    </row>
    <row r="198" spans="1:24" x14ac:dyDescent="0.25">
      <c r="A198" s="1">
        <v>186</v>
      </c>
      <c r="B198" s="1" t="s">
        <v>760</v>
      </c>
      <c r="C198" s="1" t="s">
        <v>329</v>
      </c>
      <c r="D198" s="1">
        <f>_xlfn.XLOOKUP(B198,'Master Budget'!$G$4:$G$210,'Master Budget'!$D$4:$D$210,0)</f>
        <v>0</v>
      </c>
      <c r="E198" s="22">
        <v>268.11</v>
      </c>
      <c r="F198" s="84">
        <f>SUMIFS('Data (TB)'!$E$6:$E$524,'Data (TB)'!$A$6:$A$524,'Budget Worksheet'!B198)</f>
        <v>962.84</v>
      </c>
      <c r="G198" s="62">
        <f t="shared" si="33"/>
        <v>1650.5828571428569</v>
      </c>
      <c r="H198" s="85">
        <v>1200</v>
      </c>
      <c r="I198" s="86">
        <f t="shared" si="27"/>
        <v>450.58285714285694</v>
      </c>
      <c r="J198" s="85">
        <v>1200</v>
      </c>
      <c r="K198" s="87">
        <f t="shared" si="28"/>
        <v>0</v>
      </c>
      <c r="L198" s="85">
        <v>1200</v>
      </c>
      <c r="M198" s="86">
        <f t="shared" si="29"/>
        <v>0</v>
      </c>
      <c r="N198" s="85">
        <v>1600</v>
      </c>
      <c r="O198" s="86">
        <f t="shared" si="29"/>
        <v>-400</v>
      </c>
      <c r="P198" s="85">
        <v>1600</v>
      </c>
      <c r="Q198" s="86">
        <f t="shared" si="34"/>
        <v>-400</v>
      </c>
      <c r="R198" s="62">
        <f>_xlfn.XLOOKUP(B198,'Data (TB)'!$A$6:$A$554,'Data (TB)'!$E$6:$E$554,0)/'Data (TB)'!$C$2*12</f>
        <v>1283.7866666666666</v>
      </c>
      <c r="S198" s="100">
        <f>SUMIFS(Chris!$G$5:$G$150,Chris!$A$5:$A$150,B198)</f>
        <v>1600</v>
      </c>
      <c r="T198" s="87">
        <f t="shared" si="25"/>
        <v>316.21333333333337</v>
      </c>
      <c r="U198" s="100">
        <f>SUMIFS(Chris!$H$5:$H$150,Chris!$A$5:$A$150,B198)</f>
        <v>1600</v>
      </c>
      <c r="V198" s="86">
        <f t="shared" si="26"/>
        <v>-316.21333333333337</v>
      </c>
      <c r="X198" s="1">
        <f>MATCH(B198,'Master Budget'!$G$4:$G$360,0)</f>
        <v>311</v>
      </c>
    </row>
    <row r="199" spans="1:24" x14ac:dyDescent="0.25">
      <c r="A199" s="1">
        <v>187</v>
      </c>
      <c r="B199" s="1" t="s">
        <v>761</v>
      </c>
      <c r="C199" s="1" t="s">
        <v>636</v>
      </c>
      <c r="D199" s="1">
        <f>_xlfn.XLOOKUP(B199,'Master Budget'!$G$4:$G$210,'Master Budget'!$D$4:$D$210,0)</f>
        <v>0</v>
      </c>
      <c r="E199" s="22">
        <v>534.99</v>
      </c>
      <c r="F199" s="84">
        <f>SUMIFS('Data (TB)'!$E$6:$E$524,'Data (TB)'!$A$6:$A$524,'Budget Worksheet'!B199)</f>
        <v>373.76</v>
      </c>
      <c r="G199" s="62">
        <f t="shared" ref="G199:G234" si="40">F199/$G$1*12</f>
        <v>640.73142857142852</v>
      </c>
      <c r="H199" s="85">
        <v>1000</v>
      </c>
      <c r="I199" s="86">
        <f t="shared" si="27"/>
        <v>-359.26857142857148</v>
      </c>
      <c r="J199" s="85">
        <v>1200</v>
      </c>
      <c r="K199" s="87">
        <f t="shared" si="28"/>
        <v>-200</v>
      </c>
      <c r="L199" s="85">
        <v>1200</v>
      </c>
      <c r="M199" s="86">
        <f t="shared" si="29"/>
        <v>0</v>
      </c>
      <c r="N199" s="85">
        <v>1500</v>
      </c>
      <c r="O199" s="86">
        <f t="shared" si="29"/>
        <v>-300</v>
      </c>
      <c r="P199" s="85">
        <v>1500</v>
      </c>
      <c r="Q199" s="86">
        <f t="shared" si="34"/>
        <v>-300</v>
      </c>
      <c r="R199" s="62">
        <f>_xlfn.XLOOKUP(B199,'Data (TB)'!$A$6:$A$554,'Data (TB)'!$E$6:$E$554,0)/'Data (TB)'!$C$2*12</f>
        <v>498.34666666666664</v>
      </c>
      <c r="S199" s="100">
        <f>SUMIFS(Chris!$G$5:$G$150,Chris!$A$5:$A$150,B199)</f>
        <v>1500</v>
      </c>
      <c r="T199" s="87">
        <f t="shared" ref="T199:T234" si="41">ABS(S199)-ABS(R199)</f>
        <v>1001.6533333333334</v>
      </c>
      <c r="U199" s="100">
        <f>SUMIFS(Chris!$H$5:$H$150,Chris!$A$5:$A$150,B199)</f>
        <v>1500</v>
      </c>
      <c r="V199" s="86">
        <f t="shared" ref="V199:V234" si="42">R199-U199</f>
        <v>-1001.6533333333334</v>
      </c>
      <c r="X199" s="1">
        <f>MATCH(B199,'Master Budget'!$G$4:$G$360,0)</f>
        <v>313</v>
      </c>
    </row>
    <row r="200" spans="1:24" x14ac:dyDescent="0.25">
      <c r="A200" s="1">
        <v>188</v>
      </c>
      <c r="B200" s="1" t="s">
        <v>762</v>
      </c>
      <c r="C200" s="1" t="s">
        <v>162</v>
      </c>
      <c r="D200" s="1">
        <f>_xlfn.XLOOKUP(B200,'Master Budget'!$G$4:$G$210,'Master Budget'!$D$4:$D$210,0)</f>
        <v>0</v>
      </c>
      <c r="E200" s="22">
        <v>1019.17</v>
      </c>
      <c r="F200" s="84">
        <f>SUMIFS('Data (TB)'!$E$6:$E$524,'Data (TB)'!$A$6:$A$524,'Budget Worksheet'!B200)</f>
        <v>616.75</v>
      </c>
      <c r="G200" s="62">
        <f t="shared" si="40"/>
        <v>1057.2857142857142</v>
      </c>
      <c r="H200" s="85">
        <v>2000</v>
      </c>
      <c r="I200" s="86">
        <f t="shared" si="27"/>
        <v>-942.71428571428578</v>
      </c>
      <c r="J200" s="85">
        <v>0</v>
      </c>
      <c r="K200" s="87">
        <f t="shared" si="28"/>
        <v>2000</v>
      </c>
      <c r="L200" s="85">
        <v>0</v>
      </c>
      <c r="M200" s="86">
        <f t="shared" si="29"/>
        <v>0</v>
      </c>
      <c r="N200" s="85">
        <v>1000</v>
      </c>
      <c r="O200" s="86">
        <f t="shared" si="29"/>
        <v>-1000</v>
      </c>
      <c r="P200" s="85">
        <v>1000</v>
      </c>
      <c r="Q200" s="86">
        <f t="shared" si="34"/>
        <v>-1000</v>
      </c>
      <c r="R200" s="62">
        <f>_xlfn.XLOOKUP(B200,'Data (TB)'!$A$6:$A$554,'Data (TB)'!$E$6:$E$554,0)/'Data (TB)'!$C$2*12</f>
        <v>822.33333333333326</v>
      </c>
      <c r="S200" s="100">
        <f>SUMIFS(Chris!$G$5:$G$150,Chris!$A$5:$A$150,B200)</f>
        <v>1000</v>
      </c>
      <c r="T200" s="87">
        <f t="shared" si="41"/>
        <v>177.66666666666674</v>
      </c>
      <c r="U200" s="100">
        <f>SUMIFS(Chris!$H$5:$H$150,Chris!$A$5:$A$150,B200)</f>
        <v>1000</v>
      </c>
      <c r="V200" s="86">
        <f t="shared" si="42"/>
        <v>-177.66666666666674</v>
      </c>
      <c r="X200" s="1">
        <f>MATCH(B200,'Master Budget'!$G$4:$G$360,0)</f>
        <v>314</v>
      </c>
    </row>
    <row r="201" spans="1:24" x14ac:dyDescent="0.25">
      <c r="A201" s="1">
        <v>189</v>
      </c>
      <c r="B201" s="1" t="s">
        <v>763</v>
      </c>
      <c r="C201" s="1" t="s">
        <v>348</v>
      </c>
      <c r="D201" s="1">
        <f>_xlfn.XLOOKUP(B201,'Master Budget'!$G$4:$G$210,'Master Budget'!$D$4:$D$210,0)</f>
        <v>0</v>
      </c>
      <c r="E201" s="22">
        <v>979.39</v>
      </c>
      <c r="F201" s="84">
        <f>SUMIFS('Data (TB)'!$E$6:$E$524,'Data (TB)'!$A$6:$A$524,'Budget Worksheet'!B201)</f>
        <v>585.16999999999996</v>
      </c>
      <c r="G201" s="62">
        <f t="shared" si="40"/>
        <v>1003.1485714285714</v>
      </c>
      <c r="H201" s="85">
        <v>1300</v>
      </c>
      <c r="I201" s="86">
        <f t="shared" si="27"/>
        <v>-296.85142857142864</v>
      </c>
      <c r="J201" s="85">
        <v>1300</v>
      </c>
      <c r="K201" s="87">
        <f t="shared" si="28"/>
        <v>0</v>
      </c>
      <c r="L201" s="85">
        <v>1300</v>
      </c>
      <c r="M201" s="86">
        <f t="shared" si="29"/>
        <v>0</v>
      </c>
      <c r="N201" s="85">
        <v>1500</v>
      </c>
      <c r="O201" s="86">
        <f t="shared" si="29"/>
        <v>-200</v>
      </c>
      <c r="P201" s="85">
        <v>1500</v>
      </c>
      <c r="Q201" s="86">
        <f t="shared" si="34"/>
        <v>-200</v>
      </c>
      <c r="R201" s="62">
        <f>_xlfn.XLOOKUP(B201,'Data (TB)'!$A$6:$A$554,'Data (TB)'!$E$6:$E$554,0)/'Data (TB)'!$C$2*12</f>
        <v>780.22666666666657</v>
      </c>
      <c r="S201" s="100">
        <f>SUMIFS(Chris!$G$5:$G$150,Chris!$A$5:$A$150,B201)</f>
        <v>2000</v>
      </c>
      <c r="T201" s="87">
        <f t="shared" si="41"/>
        <v>1219.7733333333335</v>
      </c>
      <c r="U201" s="100">
        <f>SUMIFS(Chris!$H$5:$H$150,Chris!$A$5:$A$150,B201)</f>
        <v>2000</v>
      </c>
      <c r="V201" s="86">
        <f t="shared" si="42"/>
        <v>-1219.7733333333335</v>
      </c>
      <c r="X201" s="1">
        <f>MATCH(B201,'Master Budget'!$G$4:$G$360,0)</f>
        <v>315</v>
      </c>
    </row>
    <row r="202" spans="1:24" x14ac:dyDescent="0.25">
      <c r="A202" s="1">
        <v>190</v>
      </c>
      <c r="B202" s="1" t="s">
        <v>764</v>
      </c>
      <c r="C202" s="1" t="s">
        <v>130</v>
      </c>
      <c r="D202" s="1">
        <f>_xlfn.XLOOKUP(B202,'Master Budget'!$G$4:$G$210,'Master Budget'!$D$4:$D$210,0)</f>
        <v>0</v>
      </c>
      <c r="E202" s="22">
        <v>45739.09</v>
      </c>
      <c r="F202" s="84">
        <f>SUMIFS('Data (TB)'!$E$6:$E$524,'Data (TB)'!$A$6:$A$524,'Budget Worksheet'!B202)</f>
        <v>948.12</v>
      </c>
      <c r="G202" s="62">
        <f t="shared" si="40"/>
        <v>1625.3485714285712</v>
      </c>
      <c r="H202" s="85">
        <v>15000</v>
      </c>
      <c r="I202" s="86">
        <f t="shared" si="27"/>
        <v>-13374.651428571429</v>
      </c>
      <c r="J202" s="85">
        <v>15000</v>
      </c>
      <c r="K202" s="87">
        <f t="shared" si="28"/>
        <v>0</v>
      </c>
      <c r="L202" s="85">
        <v>15000</v>
      </c>
      <c r="M202" s="86">
        <f t="shared" si="29"/>
        <v>0</v>
      </c>
      <c r="N202" s="85">
        <v>15000</v>
      </c>
      <c r="O202" s="86">
        <f t="shared" si="29"/>
        <v>0</v>
      </c>
      <c r="P202" s="85">
        <v>15000</v>
      </c>
      <c r="Q202" s="86">
        <f t="shared" si="34"/>
        <v>0</v>
      </c>
      <c r="R202" s="62">
        <f>_xlfn.XLOOKUP(B202,'Data (TB)'!$A$6:$A$554,'Data (TB)'!$E$6:$E$554,0)/'Data (TB)'!$C$2*12</f>
        <v>1264.1599999999999</v>
      </c>
      <c r="S202" s="100">
        <f>SUMIFS(Chris!$G$5:$G$150,Chris!$A$5:$A$150,B202)</f>
        <v>15000</v>
      </c>
      <c r="T202" s="87">
        <f t="shared" si="41"/>
        <v>13735.84</v>
      </c>
      <c r="U202" s="100">
        <f>SUMIFS(Chris!$H$5:$H$150,Chris!$A$5:$A$150,B202)</f>
        <v>15000</v>
      </c>
      <c r="V202" s="86">
        <f t="shared" si="42"/>
        <v>-13735.84</v>
      </c>
      <c r="X202" s="1">
        <f>MATCH(B202,'Master Budget'!$G$4:$G$360,0)</f>
        <v>316</v>
      </c>
    </row>
    <row r="203" spans="1:24" x14ac:dyDescent="0.25">
      <c r="A203" s="1">
        <v>191</v>
      </c>
      <c r="B203" s="1" t="s">
        <v>765</v>
      </c>
      <c r="C203" s="1" t="s">
        <v>766</v>
      </c>
      <c r="D203" s="1">
        <f>_xlfn.XLOOKUP(B203,'Master Budget'!$G$4:$G$210,'Master Budget'!$D$4:$D$210,0)</f>
        <v>0</v>
      </c>
      <c r="E203" s="22">
        <v>21842.75</v>
      </c>
      <c r="F203" s="84">
        <f>SUMIFS('Data (TB)'!$E$6:$E$524,'Data (TB)'!$A$6:$A$524,'Budget Worksheet'!B203)</f>
        <v>19187.23</v>
      </c>
      <c r="G203" s="62">
        <f t="shared" si="40"/>
        <v>32892.394285714283</v>
      </c>
      <c r="H203" s="85">
        <v>25000</v>
      </c>
      <c r="I203" s="86">
        <f t="shared" si="27"/>
        <v>7892.3942857142829</v>
      </c>
      <c r="J203" s="85">
        <v>25000</v>
      </c>
      <c r="K203" s="87">
        <f t="shared" si="28"/>
        <v>0</v>
      </c>
      <c r="L203" s="85">
        <v>25000</v>
      </c>
      <c r="M203" s="86">
        <f t="shared" si="29"/>
        <v>0</v>
      </c>
      <c r="N203" s="85">
        <v>25000</v>
      </c>
      <c r="O203" s="86">
        <f t="shared" si="29"/>
        <v>0</v>
      </c>
      <c r="P203" s="85">
        <v>25000</v>
      </c>
      <c r="Q203" s="86">
        <f t="shared" si="34"/>
        <v>0</v>
      </c>
      <c r="R203" s="62">
        <f>_xlfn.XLOOKUP(B203,'Data (TB)'!$A$6:$A$554,'Data (TB)'!$E$6:$E$554,0)/'Data (TB)'!$C$2*12</f>
        <v>25582.973333333335</v>
      </c>
      <c r="S203" s="100">
        <f>SUMIFS(Chris!$G$5:$G$150,Chris!$A$5:$A$150,B203)</f>
        <v>25000</v>
      </c>
      <c r="T203" s="87">
        <f t="shared" si="41"/>
        <v>-582.97333333333518</v>
      </c>
      <c r="U203" s="100">
        <f>SUMIFS(Chris!$H$5:$H$150,Chris!$A$5:$A$150,B203)</f>
        <v>25000</v>
      </c>
      <c r="V203" s="86">
        <f t="shared" si="42"/>
        <v>582.97333333333518</v>
      </c>
      <c r="X203" s="1">
        <f>MATCH(B203,'Master Budget'!$G$4:$G$360,0)</f>
        <v>317</v>
      </c>
    </row>
    <row r="204" spans="1:24" x14ac:dyDescent="0.25">
      <c r="A204" s="1">
        <v>192</v>
      </c>
      <c r="B204" s="1" t="s">
        <v>767</v>
      </c>
      <c r="C204" s="1" t="s">
        <v>768</v>
      </c>
      <c r="D204" s="1">
        <f>_xlfn.XLOOKUP(B204,'Master Budget'!$G$4:$G$210,'Master Budget'!$D$4:$D$210,0)</f>
        <v>0</v>
      </c>
      <c r="E204" s="22">
        <v>29112.799999999999</v>
      </c>
      <c r="F204" s="84">
        <f>SUMIFS('Data (TB)'!$E$6:$E$524,'Data (TB)'!$A$6:$A$524,'Budget Worksheet'!B204)</f>
        <v>5225.53</v>
      </c>
      <c r="G204" s="62">
        <f t="shared" si="40"/>
        <v>8958.0514285714271</v>
      </c>
      <c r="H204" s="85">
        <v>25000</v>
      </c>
      <c r="I204" s="86">
        <f t="shared" si="27"/>
        <v>-16041.948571428573</v>
      </c>
      <c r="J204" s="85">
        <v>25000</v>
      </c>
      <c r="K204" s="87">
        <f t="shared" si="28"/>
        <v>0</v>
      </c>
      <c r="L204" s="85">
        <v>25000</v>
      </c>
      <c r="M204" s="86">
        <f t="shared" si="29"/>
        <v>0</v>
      </c>
      <c r="N204" s="85">
        <v>25000</v>
      </c>
      <c r="O204" s="86">
        <f t="shared" si="29"/>
        <v>0</v>
      </c>
      <c r="P204" s="85">
        <v>25000</v>
      </c>
      <c r="Q204" s="86">
        <f t="shared" si="34"/>
        <v>0</v>
      </c>
      <c r="R204" s="62">
        <f>_xlfn.XLOOKUP(B204,'Data (TB)'!$A$6:$A$554,'Data (TB)'!$E$6:$E$554,0)/'Data (TB)'!$C$2*12</f>
        <v>6967.373333333333</v>
      </c>
      <c r="S204" s="100">
        <f>SUMIFS(Chris!$G$5:$G$150,Chris!$A$5:$A$150,B204)</f>
        <v>25000</v>
      </c>
      <c r="T204" s="87">
        <f t="shared" si="41"/>
        <v>18032.626666666667</v>
      </c>
      <c r="U204" s="100">
        <f>SUMIFS(Chris!$H$5:$H$150,Chris!$A$5:$A$150,B204)</f>
        <v>25000</v>
      </c>
      <c r="V204" s="86">
        <f t="shared" si="42"/>
        <v>-18032.626666666667</v>
      </c>
      <c r="X204" s="1">
        <f>MATCH(B204,'Master Budget'!$G$4:$G$360,0)</f>
        <v>318</v>
      </c>
    </row>
    <row r="205" spans="1:24" x14ac:dyDescent="0.25">
      <c r="A205" s="1">
        <v>193</v>
      </c>
      <c r="B205" s="1" t="s">
        <v>769</v>
      </c>
      <c r="C205" s="1" t="s">
        <v>303</v>
      </c>
      <c r="D205" s="1">
        <f>_xlfn.XLOOKUP(B205,'Master Budget'!$G$4:$G$210,'Master Budget'!$D$4:$D$210,0)</f>
        <v>0</v>
      </c>
      <c r="E205" s="22">
        <v>0</v>
      </c>
      <c r="F205" s="84">
        <f>SUMIFS('Data (TB)'!$E$6:$E$524,'Data (TB)'!$A$6:$A$524,'Budget Worksheet'!B205)</f>
        <v>0</v>
      </c>
      <c r="G205" s="62">
        <f t="shared" si="40"/>
        <v>0</v>
      </c>
      <c r="H205" s="85">
        <v>0</v>
      </c>
      <c r="I205" s="86">
        <f t="shared" si="27"/>
        <v>0</v>
      </c>
      <c r="J205" s="85">
        <v>0</v>
      </c>
      <c r="K205" s="87">
        <f t="shared" si="28"/>
        <v>0</v>
      </c>
      <c r="L205" s="85">
        <v>0</v>
      </c>
      <c r="M205" s="86">
        <f t="shared" si="29"/>
        <v>0</v>
      </c>
      <c r="N205" s="85">
        <v>0</v>
      </c>
      <c r="O205" s="86">
        <f t="shared" si="29"/>
        <v>0</v>
      </c>
      <c r="P205" s="85">
        <v>0</v>
      </c>
      <c r="Q205" s="86">
        <f t="shared" si="34"/>
        <v>0</v>
      </c>
      <c r="R205" s="62">
        <f>_xlfn.XLOOKUP(B205,'Data (TB)'!$A$6:$A$554,'Data (TB)'!$E$6:$E$554,0)/'Data (TB)'!$C$2*12</f>
        <v>0</v>
      </c>
      <c r="S205" s="100">
        <f>SUMIFS(Chris!$G$5:$G$150,Chris!$A$5:$A$150,B205)</f>
        <v>0</v>
      </c>
      <c r="T205" s="87">
        <f t="shared" si="41"/>
        <v>0</v>
      </c>
      <c r="U205" s="100">
        <f>SUMIFS(Chris!$H$5:$H$150,Chris!$A$5:$A$150,B205)</f>
        <v>0</v>
      </c>
      <c r="V205" s="86">
        <f t="shared" si="42"/>
        <v>0</v>
      </c>
      <c r="X205" s="1" t="e">
        <f>MATCH(B205,'Master Budget'!$G$4:$G$360,0)</f>
        <v>#N/A</v>
      </c>
    </row>
    <row r="206" spans="1:24" x14ac:dyDescent="0.25">
      <c r="A206" s="1">
        <v>194</v>
      </c>
      <c r="B206" s="1" t="s">
        <v>770</v>
      </c>
      <c r="C206" s="1" t="s">
        <v>771</v>
      </c>
      <c r="D206" s="1">
        <f>_xlfn.XLOOKUP(B206,'Master Budget'!$G$4:$G$210,'Master Budget'!$D$4:$D$210,0)</f>
        <v>0</v>
      </c>
      <c r="E206" s="22">
        <v>880</v>
      </c>
      <c r="F206" s="84">
        <f>SUMIFS('Data (TB)'!$E$6:$E$524,'Data (TB)'!$A$6:$A$524,'Budget Worksheet'!B206)</f>
        <v>1419.2</v>
      </c>
      <c r="G206" s="62">
        <f t="shared" si="40"/>
        <v>2432.9142857142861</v>
      </c>
      <c r="H206" s="85">
        <v>1500</v>
      </c>
      <c r="I206" s="86">
        <f t="shared" si="27"/>
        <v>932.91428571428605</v>
      </c>
      <c r="J206" s="85">
        <v>1500</v>
      </c>
      <c r="K206" s="87">
        <f t="shared" si="28"/>
        <v>0</v>
      </c>
      <c r="L206" s="85">
        <v>1500</v>
      </c>
      <c r="M206" s="86">
        <f t="shared" si="29"/>
        <v>0</v>
      </c>
      <c r="N206" s="85">
        <v>1500</v>
      </c>
      <c r="O206" s="86">
        <f t="shared" si="29"/>
        <v>0</v>
      </c>
      <c r="P206" s="85">
        <v>1500</v>
      </c>
      <c r="Q206" s="86">
        <f t="shared" si="34"/>
        <v>0</v>
      </c>
      <c r="R206" s="62">
        <f>_xlfn.XLOOKUP(B206,'Data (TB)'!$A$6:$A$554,'Data (TB)'!$E$6:$E$554,0)/'Data (TB)'!$C$2*12</f>
        <v>1892.2666666666669</v>
      </c>
      <c r="S206" s="100">
        <f>SUMIFS(Chris!$G$5:$G$150,Chris!$A$5:$A$150,B206)</f>
        <v>1600</v>
      </c>
      <c r="T206" s="87">
        <f t="shared" si="41"/>
        <v>-292.26666666666688</v>
      </c>
      <c r="U206" s="100">
        <f>SUMIFS(Chris!$H$5:$H$150,Chris!$A$5:$A$150,B206)</f>
        <v>1600</v>
      </c>
      <c r="V206" s="86">
        <f t="shared" si="42"/>
        <v>292.26666666666688</v>
      </c>
      <c r="X206" s="1">
        <f>MATCH(B206,'Master Budget'!$G$4:$G$360,0)</f>
        <v>319</v>
      </c>
    </row>
    <row r="207" spans="1:24" x14ac:dyDescent="0.25">
      <c r="A207" s="1">
        <v>195</v>
      </c>
      <c r="B207" s="1" t="s">
        <v>772</v>
      </c>
      <c r="C207" s="1" t="s">
        <v>432</v>
      </c>
      <c r="D207" s="1">
        <f>_xlfn.XLOOKUP(B207,'Master Budget'!$G$4:$G$210,'Master Budget'!$D$4:$D$210,0)</f>
        <v>0</v>
      </c>
      <c r="E207" s="22">
        <v>13533.92</v>
      </c>
      <c r="F207" s="84">
        <f>SUMIFS('Data (TB)'!$E$6:$E$524,'Data (TB)'!$A$6:$A$524,'Budget Worksheet'!B207)</f>
        <v>1109.1500000000001</v>
      </c>
      <c r="G207" s="62">
        <f t="shared" si="40"/>
        <v>1901.4</v>
      </c>
      <c r="H207" s="85">
        <v>23000</v>
      </c>
      <c r="I207" s="86">
        <f t="shared" si="27"/>
        <v>-21098.6</v>
      </c>
      <c r="J207" s="85">
        <v>30000</v>
      </c>
      <c r="K207" s="87">
        <f t="shared" si="28"/>
        <v>-7000</v>
      </c>
      <c r="L207" s="85">
        <v>23000</v>
      </c>
      <c r="M207" s="86">
        <f t="shared" si="29"/>
        <v>7000</v>
      </c>
      <c r="N207" s="85">
        <v>23000</v>
      </c>
      <c r="O207" s="86">
        <f t="shared" si="29"/>
        <v>0</v>
      </c>
      <c r="P207" s="85">
        <v>23000</v>
      </c>
      <c r="Q207" s="86">
        <f t="shared" si="34"/>
        <v>0</v>
      </c>
      <c r="R207" s="62">
        <f>_xlfn.XLOOKUP(B207,'Data (TB)'!$A$6:$A$554,'Data (TB)'!$E$6:$E$554,0)/'Data (TB)'!$C$2*12</f>
        <v>1478.8666666666668</v>
      </c>
      <c r="S207" s="100">
        <f>SUMIFS(Chris!$G$5:$G$150,Chris!$A$5:$A$150,B207)</f>
        <v>33000</v>
      </c>
      <c r="T207" s="87">
        <f t="shared" si="41"/>
        <v>31521.133333333331</v>
      </c>
      <c r="U207" s="100">
        <f>SUMIFS(Chris!$H$5:$H$150,Chris!$A$5:$A$150,B207)</f>
        <v>33000</v>
      </c>
      <c r="V207" s="86">
        <f t="shared" si="42"/>
        <v>-31521.133333333331</v>
      </c>
      <c r="X207" s="1">
        <f>MATCH(B207,'Master Budget'!$G$4:$G$360,0)</f>
        <v>320</v>
      </c>
    </row>
    <row r="208" spans="1:24" x14ac:dyDescent="0.25">
      <c r="A208" s="1">
        <v>196</v>
      </c>
      <c r="B208" s="1" t="s">
        <v>773</v>
      </c>
      <c r="C208" s="1" t="s">
        <v>774</v>
      </c>
      <c r="D208" s="1">
        <f>_xlfn.XLOOKUP(B208,'Master Budget'!$G$4:$G$210,'Master Budget'!$D$4:$D$210,0)</f>
        <v>0</v>
      </c>
      <c r="E208" s="22">
        <v>24517.99</v>
      </c>
      <c r="F208" s="84">
        <f>SUMIFS('Data (TB)'!$E$6:$E$524,'Data (TB)'!$A$6:$A$524,'Budget Worksheet'!B208)</f>
        <v>6326.73</v>
      </c>
      <c r="G208" s="62">
        <f t="shared" si="40"/>
        <v>10845.822857142855</v>
      </c>
      <c r="H208" s="85">
        <v>35000</v>
      </c>
      <c r="I208" s="86">
        <f t="shared" si="27"/>
        <v>-24154.177142857145</v>
      </c>
      <c r="J208" s="85">
        <v>35000</v>
      </c>
      <c r="K208" s="87">
        <f t="shared" si="28"/>
        <v>0</v>
      </c>
      <c r="L208" s="85">
        <v>35000</v>
      </c>
      <c r="M208" s="86">
        <f t="shared" si="29"/>
        <v>0</v>
      </c>
      <c r="N208" s="85">
        <v>35000</v>
      </c>
      <c r="O208" s="86">
        <f t="shared" si="29"/>
        <v>0</v>
      </c>
      <c r="P208" s="85">
        <v>35000</v>
      </c>
      <c r="Q208" s="86">
        <f t="shared" ref="Q208:Q220" si="43">L208-P208</f>
        <v>0</v>
      </c>
      <c r="R208" s="62">
        <f>_xlfn.XLOOKUP(B208,'Data (TB)'!$A$6:$A$554,'Data (TB)'!$E$6:$E$554,0)/'Data (TB)'!$C$2*12</f>
        <v>8435.64</v>
      </c>
      <c r="S208" s="100">
        <f>SUMIFS(Chris!$G$5:$G$150,Chris!$A$5:$A$150,B208)</f>
        <v>35000</v>
      </c>
      <c r="T208" s="87">
        <f t="shared" si="41"/>
        <v>26564.36</v>
      </c>
      <c r="U208" s="100">
        <f>SUMIFS(Chris!$H$5:$H$150,Chris!$A$5:$A$150,B208)</f>
        <v>35000</v>
      </c>
      <c r="V208" s="86">
        <f t="shared" si="42"/>
        <v>-26564.36</v>
      </c>
      <c r="X208" s="1">
        <f>MATCH(B208,'Master Budget'!$G$4:$G$360,0)</f>
        <v>321</v>
      </c>
    </row>
    <row r="209" spans="1:24" x14ac:dyDescent="0.25">
      <c r="A209" s="1">
        <v>197</v>
      </c>
      <c r="B209" s="1" t="s">
        <v>775</v>
      </c>
      <c r="C209" s="1" t="s">
        <v>1115</v>
      </c>
      <c r="D209" s="1">
        <f>_xlfn.XLOOKUP(B209,'Master Budget'!$G$4:$G$210,'Master Budget'!$D$4:$D$210,0)</f>
        <v>0</v>
      </c>
      <c r="E209" s="22">
        <v>13843.08</v>
      </c>
      <c r="F209" s="84">
        <f>SUMIFS('Data (TB)'!$E$6:$E$524,'Data (TB)'!$A$6:$A$524,'Budget Worksheet'!B209)</f>
        <v>7177.92</v>
      </c>
      <c r="G209" s="62">
        <f t="shared" si="40"/>
        <v>12305.005714285715</v>
      </c>
      <c r="H209" s="85">
        <v>7000</v>
      </c>
      <c r="I209" s="86">
        <f t="shared" si="27"/>
        <v>5305.0057142857149</v>
      </c>
      <c r="J209" s="85">
        <v>20000</v>
      </c>
      <c r="K209" s="87">
        <f t="shared" si="28"/>
        <v>-13000</v>
      </c>
      <c r="L209" s="85">
        <v>20000</v>
      </c>
      <c r="M209" s="86">
        <f t="shared" si="29"/>
        <v>0</v>
      </c>
      <c r="N209" s="85">
        <v>20000</v>
      </c>
      <c r="O209" s="86">
        <f t="shared" si="29"/>
        <v>0</v>
      </c>
      <c r="P209" s="85">
        <v>20000</v>
      </c>
      <c r="Q209" s="86">
        <f t="shared" si="43"/>
        <v>0</v>
      </c>
      <c r="R209" s="62">
        <f>_xlfn.XLOOKUP(B209,'Data (TB)'!$A$6:$A$554,'Data (TB)'!$E$6:$E$554,0)/'Data (TB)'!$C$2*12</f>
        <v>9570.56</v>
      </c>
      <c r="S209" s="100">
        <f>SUMIFS(Chris!$G$5:$G$150,Chris!$A$5:$A$150,B209)</f>
        <v>20000</v>
      </c>
      <c r="T209" s="87">
        <f t="shared" si="41"/>
        <v>10429.44</v>
      </c>
      <c r="U209" s="100">
        <f>SUMIFS(Chris!$H$5:$H$150,Chris!$A$5:$A$150,B209)</f>
        <v>20000</v>
      </c>
      <c r="V209" s="86">
        <f t="shared" si="42"/>
        <v>-10429.44</v>
      </c>
      <c r="X209" s="1">
        <f>MATCH(B209,'Master Budget'!$G$4:$G$360,0)</f>
        <v>322</v>
      </c>
    </row>
    <row r="210" spans="1:24" x14ac:dyDescent="0.25">
      <c r="A210" s="1">
        <v>198</v>
      </c>
      <c r="B210" s="1" t="s">
        <v>777</v>
      </c>
      <c r="C210" s="1" t="s">
        <v>778</v>
      </c>
      <c r="D210" s="1">
        <f>_xlfn.XLOOKUP(B210,'Master Budget'!$G$4:$G$210,'Master Budget'!$D$4:$D$210,0)</f>
        <v>0</v>
      </c>
      <c r="E210" s="22">
        <v>11989.55</v>
      </c>
      <c r="F210" s="84">
        <f>SUMIFS('Data (TB)'!$E$6:$E$524,'Data (TB)'!$A$6:$A$524,'Budget Worksheet'!B210)</f>
        <v>1199</v>
      </c>
      <c r="G210" s="62">
        <f t="shared" si="40"/>
        <v>2055.4285714285716</v>
      </c>
      <c r="H210" s="85">
        <v>17000</v>
      </c>
      <c r="I210" s="86">
        <f t="shared" si="27"/>
        <v>-14944.571428571428</v>
      </c>
      <c r="J210" s="85">
        <v>21000</v>
      </c>
      <c r="K210" s="87">
        <f t="shared" si="28"/>
        <v>-4000</v>
      </c>
      <c r="L210" s="85">
        <v>21000</v>
      </c>
      <c r="M210" s="86">
        <f t="shared" si="29"/>
        <v>0</v>
      </c>
      <c r="N210" s="85">
        <v>21000</v>
      </c>
      <c r="O210" s="86">
        <f t="shared" si="29"/>
        <v>0</v>
      </c>
      <c r="P210" s="85">
        <v>21000</v>
      </c>
      <c r="Q210" s="86">
        <f t="shared" si="43"/>
        <v>0</v>
      </c>
      <c r="R210" s="62">
        <f>_xlfn.XLOOKUP(B210,'Data (TB)'!$A$6:$A$554,'Data (TB)'!$E$6:$E$554,0)/'Data (TB)'!$C$2*12</f>
        <v>1598.6666666666667</v>
      </c>
      <c r="S210" s="100">
        <f>SUMIFS(Chris!$G$5:$G$150,Chris!$A$5:$A$150,B210)</f>
        <v>21000</v>
      </c>
      <c r="T210" s="87">
        <f t="shared" si="41"/>
        <v>19401.333333333332</v>
      </c>
      <c r="U210" s="100">
        <f>SUMIFS(Chris!$H$5:$H$150,Chris!$A$5:$A$150,B210)</f>
        <v>21000</v>
      </c>
      <c r="V210" s="86">
        <f t="shared" si="42"/>
        <v>-19401.333333333332</v>
      </c>
      <c r="X210" s="1">
        <f>MATCH(B210,'Master Budget'!$G$4:$G$360,0)</f>
        <v>323</v>
      </c>
    </row>
    <row r="211" spans="1:24" x14ac:dyDescent="0.25">
      <c r="A211" s="1">
        <v>199</v>
      </c>
      <c r="B211" s="1" t="s">
        <v>779</v>
      </c>
      <c r="C211" s="1" t="s">
        <v>780</v>
      </c>
      <c r="D211" s="1">
        <f>_xlfn.XLOOKUP(B211,'Master Budget'!$G$4:$G$210,'Master Budget'!$D$4:$D$210,0)</f>
        <v>0</v>
      </c>
      <c r="E211" s="22">
        <v>0</v>
      </c>
      <c r="F211" s="84">
        <f>SUMIFS('Data (TB)'!$E$6:$E$524,'Data (TB)'!$A$6:$A$524,'Budget Worksheet'!B211)</f>
        <v>0</v>
      </c>
      <c r="G211" s="62">
        <f t="shared" si="40"/>
        <v>0</v>
      </c>
      <c r="H211" s="85">
        <v>0</v>
      </c>
      <c r="I211" s="86">
        <f t="shared" ref="I211:I234" si="44">-H211+G211</f>
        <v>0</v>
      </c>
      <c r="J211" s="85">
        <v>0</v>
      </c>
      <c r="K211" s="87">
        <f t="shared" ref="K211:K234" si="45">ROUND(H211-J211,0)</f>
        <v>0</v>
      </c>
      <c r="L211" s="85">
        <v>0</v>
      </c>
      <c r="M211" s="86">
        <f t="shared" ref="M211:O234" si="46">J211-L211</f>
        <v>0</v>
      </c>
      <c r="N211" s="85">
        <v>0</v>
      </c>
      <c r="O211" s="86">
        <f t="shared" si="46"/>
        <v>0</v>
      </c>
      <c r="P211" s="85">
        <v>0</v>
      </c>
      <c r="Q211" s="86">
        <f t="shared" si="43"/>
        <v>0</v>
      </c>
      <c r="R211" s="62">
        <f>_xlfn.XLOOKUP(B211,'Data (TB)'!$A$6:$A$554,'Data (TB)'!$E$6:$E$554,0)/'Data (TB)'!$C$2*12</f>
        <v>0</v>
      </c>
      <c r="S211" s="100">
        <f>SUMIFS(Chris!$G$5:$G$150,Chris!$A$5:$A$150,B211)</f>
        <v>0</v>
      </c>
      <c r="T211" s="87">
        <f t="shared" si="41"/>
        <v>0</v>
      </c>
      <c r="U211" s="100">
        <f>SUMIFS(Chris!$H$5:$H$150,Chris!$A$5:$A$150,B211)</f>
        <v>0</v>
      </c>
      <c r="V211" s="86">
        <f t="shared" si="42"/>
        <v>0</v>
      </c>
      <c r="X211" s="1" t="e">
        <f>MATCH(B211,'Master Budget'!$G$4:$G$360,0)</f>
        <v>#N/A</v>
      </c>
    </row>
    <row r="212" spans="1:24" x14ac:dyDescent="0.25">
      <c r="A212" s="1">
        <v>200</v>
      </c>
      <c r="B212" s="1" t="s">
        <v>781</v>
      </c>
      <c r="C212" s="1" t="s">
        <v>782</v>
      </c>
      <c r="D212" s="1">
        <f>_xlfn.XLOOKUP(B212,'Master Budget'!$G$4:$G$210,'Master Budget'!$D$4:$D$210,0)</f>
        <v>0</v>
      </c>
      <c r="E212" s="22">
        <v>0</v>
      </c>
      <c r="F212" s="84">
        <f>SUMIFS('Data (TB)'!$E$6:$E$524,'Data (TB)'!$A$6:$A$524,'Budget Worksheet'!B212)</f>
        <v>0</v>
      </c>
      <c r="G212" s="62">
        <f t="shared" si="40"/>
        <v>0</v>
      </c>
      <c r="H212" s="85">
        <v>430000</v>
      </c>
      <c r="I212" s="86">
        <f t="shared" si="44"/>
        <v>-430000</v>
      </c>
      <c r="J212" s="85">
        <v>430000</v>
      </c>
      <c r="K212" s="87">
        <f t="shared" si="45"/>
        <v>0</v>
      </c>
      <c r="L212" s="85">
        <v>430000</v>
      </c>
      <c r="M212" s="86">
        <f t="shared" si="46"/>
        <v>0</v>
      </c>
      <c r="N212" s="85">
        <v>230000</v>
      </c>
      <c r="O212" s="86">
        <f t="shared" si="46"/>
        <v>200000</v>
      </c>
      <c r="P212" s="85">
        <v>170325</v>
      </c>
      <c r="Q212" s="86">
        <f t="shared" si="43"/>
        <v>259675</v>
      </c>
      <c r="R212" s="62">
        <f>_xlfn.XLOOKUP(B212,'Data (TB)'!$A$6:$A$554,'Data (TB)'!$E$6:$E$554,0)/'Data (TB)'!$C$2*12</f>
        <v>0</v>
      </c>
      <c r="S212" s="100">
        <f>SUMIFS(Chris!$G$5:$G$150,Chris!$A$5:$A$150,B212)</f>
        <v>430000</v>
      </c>
      <c r="T212" s="87">
        <f t="shared" si="41"/>
        <v>430000</v>
      </c>
      <c r="U212" s="100">
        <f>SUMIFS(Chris!$H$5:$H$150,Chris!$A$5:$A$150,B212)</f>
        <v>430000</v>
      </c>
      <c r="V212" s="86">
        <f t="shared" si="42"/>
        <v>-430000</v>
      </c>
      <c r="X212" s="1">
        <f>MATCH(B212,'Master Budget'!$G$4:$G$360,0)</f>
        <v>324</v>
      </c>
    </row>
    <row r="213" spans="1:24" x14ac:dyDescent="0.25">
      <c r="A213" s="1">
        <v>201</v>
      </c>
      <c r="B213" s="1" t="s">
        <v>783</v>
      </c>
      <c r="C213" s="1" t="s">
        <v>23</v>
      </c>
      <c r="D213" s="1">
        <f>_xlfn.XLOOKUP(B213,'Master Budget'!$G$4:$G$210,'Master Budget'!$D$4:$D$210,0)</f>
        <v>0</v>
      </c>
      <c r="E213" s="22">
        <v>32626.34</v>
      </c>
      <c r="F213" s="84">
        <f>SUMIFS('Data (TB)'!$E$6:$E$524,'Data (TB)'!$A$6:$A$524,'Budget Worksheet'!B213)</f>
        <v>883.56</v>
      </c>
      <c r="G213" s="62">
        <f t="shared" si="40"/>
        <v>1514.6742857142856</v>
      </c>
      <c r="H213" s="85">
        <v>63620</v>
      </c>
      <c r="I213" s="86">
        <f t="shared" si="44"/>
        <v>-62105.325714285711</v>
      </c>
      <c r="J213" s="85">
        <v>63620</v>
      </c>
      <c r="K213" s="87">
        <f t="shared" si="45"/>
        <v>0</v>
      </c>
      <c r="L213" s="85">
        <v>63620</v>
      </c>
      <c r="M213" s="86">
        <f t="shared" si="46"/>
        <v>0</v>
      </c>
      <c r="N213" s="85">
        <v>63620</v>
      </c>
      <c r="O213" s="86">
        <f t="shared" si="46"/>
        <v>0</v>
      </c>
      <c r="P213" s="85">
        <v>63620</v>
      </c>
      <c r="Q213" s="86">
        <f t="shared" si="43"/>
        <v>0</v>
      </c>
      <c r="R213" s="62">
        <f>_xlfn.XLOOKUP(B213,'Data (TB)'!$A$6:$A$554,'Data (TB)'!$E$6:$E$554,0)/'Data (TB)'!$C$2*12</f>
        <v>1178.08</v>
      </c>
      <c r="S213" s="100">
        <f>SUMIFS(Chris!$G$5:$G$150,Chris!$A$5:$A$150,B213)</f>
        <v>63620</v>
      </c>
      <c r="T213" s="87">
        <f t="shared" si="41"/>
        <v>62441.919999999998</v>
      </c>
      <c r="U213" s="100">
        <f>SUMIFS(Chris!$H$5:$H$150,Chris!$A$5:$A$150,B213)</f>
        <v>63620</v>
      </c>
      <c r="V213" s="86">
        <f t="shared" si="42"/>
        <v>-62441.919999999998</v>
      </c>
      <c r="X213" s="1">
        <f>MATCH(B213,'Master Budget'!$G$4:$G$360,0)</f>
        <v>325</v>
      </c>
    </row>
    <row r="214" spans="1:24" x14ac:dyDescent="0.25">
      <c r="A214" s="1">
        <v>202</v>
      </c>
      <c r="B214" s="1" t="s">
        <v>784</v>
      </c>
      <c r="C214" s="1" t="s">
        <v>158</v>
      </c>
      <c r="D214" s="1">
        <f>_xlfn.XLOOKUP(B214,'Master Budget'!$G$4:$G$210,'Master Budget'!$D$4:$D$210,0)</f>
        <v>0</v>
      </c>
      <c r="E214" s="22">
        <v>0</v>
      </c>
      <c r="F214" s="84">
        <f>SUMIFS('Data (TB)'!$E$6:$E$524,'Data (TB)'!$A$6:$A$524,'Budget Worksheet'!B214)</f>
        <v>0</v>
      </c>
      <c r="G214" s="62">
        <f t="shared" si="40"/>
        <v>0</v>
      </c>
      <c r="H214" s="85">
        <v>0</v>
      </c>
      <c r="I214" s="86">
        <f t="shared" si="44"/>
        <v>0</v>
      </c>
      <c r="J214" s="85">
        <v>0</v>
      </c>
      <c r="K214" s="87">
        <f t="shared" si="45"/>
        <v>0</v>
      </c>
      <c r="L214" s="85">
        <v>0</v>
      </c>
      <c r="M214" s="86">
        <f t="shared" si="46"/>
        <v>0</v>
      </c>
      <c r="N214" s="85">
        <v>0</v>
      </c>
      <c r="O214" s="86">
        <f t="shared" si="46"/>
        <v>0</v>
      </c>
      <c r="P214" s="85">
        <v>0</v>
      </c>
      <c r="Q214" s="86">
        <f t="shared" si="43"/>
        <v>0</v>
      </c>
      <c r="R214" s="62">
        <f>_xlfn.XLOOKUP(B214,'Data (TB)'!$A$6:$A$554,'Data (TB)'!$E$6:$E$554,0)/'Data (TB)'!$C$2*12</f>
        <v>0</v>
      </c>
      <c r="S214" s="100">
        <f>SUMIFS(Chris!$G$5:$G$150,Chris!$A$5:$A$150,B214)</f>
        <v>0</v>
      </c>
      <c r="T214" s="87">
        <f t="shared" si="41"/>
        <v>0</v>
      </c>
      <c r="U214" s="100">
        <f>SUMIFS(Chris!$H$5:$H$150,Chris!$A$5:$A$150,B214)</f>
        <v>0</v>
      </c>
      <c r="V214" s="86">
        <f t="shared" si="42"/>
        <v>0</v>
      </c>
      <c r="X214" s="1" t="e">
        <f>MATCH(B214,'Master Budget'!$G$4:$G$360,0)</f>
        <v>#N/A</v>
      </c>
    </row>
    <row r="215" spans="1:24" x14ac:dyDescent="0.25">
      <c r="A215" s="1">
        <v>203</v>
      </c>
      <c r="B215" s="1" t="s">
        <v>785</v>
      </c>
      <c r="C215" s="1" t="s">
        <v>43</v>
      </c>
      <c r="D215" s="1">
        <f>_xlfn.XLOOKUP(B215,'Master Budget'!$G$4:$G$210,'Master Budget'!$D$4:$D$210,0)</f>
        <v>0</v>
      </c>
      <c r="E215" s="22">
        <v>110441.82</v>
      </c>
      <c r="F215" s="84">
        <f>SUMIFS('Data (TB)'!$E$6:$E$524,'Data (TB)'!$A$6:$A$524,'Budget Worksheet'!B215)</f>
        <v>63728.35</v>
      </c>
      <c r="G215" s="62">
        <f t="shared" si="40"/>
        <v>109248.59999999999</v>
      </c>
      <c r="H215" s="85">
        <v>111558.12</v>
      </c>
      <c r="I215" s="86">
        <f t="shared" si="44"/>
        <v>-2309.5200000000041</v>
      </c>
      <c r="J215" s="85">
        <v>111558</v>
      </c>
      <c r="K215" s="87">
        <f t="shared" si="45"/>
        <v>0</v>
      </c>
      <c r="L215" s="85">
        <v>111558</v>
      </c>
      <c r="M215" s="86">
        <f t="shared" si="46"/>
        <v>0</v>
      </c>
      <c r="N215" s="85">
        <v>111558</v>
      </c>
      <c r="O215" s="86">
        <f t="shared" si="46"/>
        <v>0</v>
      </c>
      <c r="P215" s="85">
        <v>111558</v>
      </c>
      <c r="Q215" s="86">
        <f t="shared" si="43"/>
        <v>0</v>
      </c>
      <c r="R215" s="62">
        <f>_xlfn.XLOOKUP(B215,'Data (TB)'!$A$6:$A$554,'Data (TB)'!$E$6:$E$554,0)/'Data (TB)'!$C$2*12</f>
        <v>84971.133333333331</v>
      </c>
      <c r="S215" s="100">
        <f>SUMIFS(Chris!$G$5:$G$150,Chris!$A$5:$A$150,B215)</f>
        <v>111558</v>
      </c>
      <c r="T215" s="87">
        <f t="shared" si="41"/>
        <v>26586.866666666669</v>
      </c>
      <c r="U215" s="100">
        <f>SUMIFS(Chris!$H$5:$H$150,Chris!$A$5:$A$150,B215)</f>
        <v>111558</v>
      </c>
      <c r="V215" s="86">
        <f t="shared" si="42"/>
        <v>-26586.866666666669</v>
      </c>
      <c r="X215" s="1">
        <f>MATCH(B215,'Master Budget'!$G$4:$G$360,0)</f>
        <v>326</v>
      </c>
    </row>
    <row r="216" spans="1:24" x14ac:dyDescent="0.25">
      <c r="A216" s="126">
        <v>204</v>
      </c>
      <c r="B216" s="126" t="s">
        <v>786</v>
      </c>
      <c r="C216" s="126" t="s">
        <v>787</v>
      </c>
      <c r="D216" s="126">
        <f>_xlfn.XLOOKUP(B216,'Master Budget'!$G$4:$G$210,'Master Budget'!$D$4:$D$210,0)</f>
        <v>0</v>
      </c>
      <c r="E216" s="127">
        <v>0</v>
      </c>
      <c r="F216" s="128">
        <f>SUMIFS('Data (TB)'!$E$6:$E$524,'Data (TB)'!$A$6:$A$524,'Budget Worksheet'!B216)</f>
        <v>1350357.28</v>
      </c>
      <c r="G216" s="129">
        <f t="shared" si="40"/>
        <v>2314898.1942857141</v>
      </c>
      <c r="H216" s="130">
        <v>5183000</v>
      </c>
      <c r="I216" s="131">
        <f t="shared" si="44"/>
        <v>-2868101.8057142859</v>
      </c>
      <c r="J216" s="130">
        <v>0</v>
      </c>
      <c r="K216" s="132">
        <f t="shared" si="45"/>
        <v>5183000</v>
      </c>
      <c r="L216" s="130">
        <v>0</v>
      </c>
      <c r="M216" s="132">
        <f t="shared" si="46"/>
        <v>0</v>
      </c>
      <c r="N216" s="130">
        <v>0</v>
      </c>
      <c r="O216" s="132">
        <f t="shared" si="46"/>
        <v>0</v>
      </c>
      <c r="P216" s="130">
        <v>0</v>
      </c>
      <c r="Q216" s="132">
        <f t="shared" si="43"/>
        <v>0</v>
      </c>
      <c r="R216" s="62">
        <f>_xlfn.XLOOKUP(B216,'Data (TB)'!$A$6:$A$554,'Data (TB)'!$E$6:$E$554,0)/'Data (TB)'!$C$2*12</f>
        <v>1800476.3733333335</v>
      </c>
      <c r="S216" s="129">
        <f>_xlfn.XLOOKUP(B216,'27 Capital Budget'!$N$6:$N$11,'27 Capital Budget'!$U$6:$U$11,0)</f>
        <v>0</v>
      </c>
      <c r="T216" s="87">
        <f t="shared" si="41"/>
        <v>-1800476.3733333335</v>
      </c>
      <c r="U216" s="129">
        <f>_xlfn.XLOOKUP(B216,'27 Capital Budget'!$N$6:$N$11,'27 Capital Budget'!$V$6:$V$11,0)</f>
        <v>0</v>
      </c>
      <c r="V216" s="132">
        <f t="shared" si="42"/>
        <v>1800476.3733333335</v>
      </c>
      <c r="X216" s="1">
        <f>MATCH(B216,'Master Budget'!$G$4:$G$360,0)</f>
        <v>327</v>
      </c>
    </row>
    <row r="217" spans="1:24" x14ac:dyDescent="0.25">
      <c r="A217" s="126">
        <v>205</v>
      </c>
      <c r="B217" s="126" t="s">
        <v>788</v>
      </c>
      <c r="C217" s="126" t="s">
        <v>344</v>
      </c>
      <c r="D217" s="126">
        <f>_xlfn.XLOOKUP(B217,'Master Budget'!$G$4:$G$210,'Master Budget'!$D$4:$D$210,0)</f>
        <v>0</v>
      </c>
      <c r="E217" s="127">
        <v>0</v>
      </c>
      <c r="F217" s="128">
        <f>SUMIFS('Data (TB)'!$E$6:$E$524,'Data (TB)'!$A$6:$A$524,'Budget Worksheet'!B217)</f>
        <v>0</v>
      </c>
      <c r="G217" s="129">
        <f t="shared" si="40"/>
        <v>0</v>
      </c>
      <c r="H217" s="130">
        <v>0</v>
      </c>
      <c r="I217" s="131">
        <f t="shared" si="44"/>
        <v>0</v>
      </c>
      <c r="J217" s="130">
        <v>5866000</v>
      </c>
      <c r="K217" s="132">
        <f t="shared" si="45"/>
        <v>-5866000</v>
      </c>
      <c r="L217" s="130">
        <v>11180500</v>
      </c>
      <c r="M217" s="132">
        <f t="shared" si="46"/>
        <v>-5314500</v>
      </c>
      <c r="N217" s="130">
        <v>7580000</v>
      </c>
      <c r="O217" s="132">
        <f t="shared" si="46"/>
        <v>3600500</v>
      </c>
      <c r="P217" s="130">
        <v>4620000</v>
      </c>
      <c r="Q217" s="132">
        <f t="shared" si="43"/>
        <v>6560500</v>
      </c>
      <c r="R217" s="62">
        <f>_xlfn.XLOOKUP(B217,'Data (TB)'!$A$6:$A$554,'Data (TB)'!$E$6:$E$554,0)/'Data (TB)'!$C$2*12</f>
        <v>0</v>
      </c>
      <c r="S217" s="129">
        <f>_xlfn.XLOOKUP(B217,'27 Capital Budget'!$N$6:$N$11,'27 Capital Budget'!$U$6:$U$11,0)</f>
        <v>4580000</v>
      </c>
      <c r="T217" s="87">
        <f t="shared" si="41"/>
        <v>4580000</v>
      </c>
      <c r="U217" s="129">
        <f>_xlfn.XLOOKUP(B217,'27 Capital Budget'!$N$6:$N$11,'27 Capital Budget'!$V$6:$V$11,0)</f>
        <v>1040000</v>
      </c>
      <c r="V217" s="132">
        <f t="shared" si="42"/>
        <v>-1040000</v>
      </c>
      <c r="X217" s="1">
        <f>MATCH(B217,'Master Budget'!$G$4:$G$360,0)</f>
        <v>328</v>
      </c>
    </row>
    <row r="218" spans="1:24" ht="15.75" thickBot="1" x14ac:dyDescent="0.3">
      <c r="A218" s="88">
        <v>206</v>
      </c>
      <c r="B218" s="88" t="s">
        <v>789</v>
      </c>
      <c r="C218" s="88" t="s">
        <v>164</v>
      </c>
      <c r="D218" s="88">
        <f>_xlfn.XLOOKUP(B218,'Master Budget'!$G$4:$G$210,'Master Budget'!$D$4:$D$210,0)</f>
        <v>0</v>
      </c>
      <c r="E218" s="89">
        <v>0</v>
      </c>
      <c r="F218" s="90">
        <f>SUMIFS('Data (TB)'!$E$6:$E$524,'Data (TB)'!$A$6:$A$524,'Budget Worksheet'!B218)</f>
        <v>0</v>
      </c>
      <c r="G218" s="91">
        <f t="shared" si="40"/>
        <v>0</v>
      </c>
      <c r="H218" s="92">
        <v>0</v>
      </c>
      <c r="I218" s="93">
        <f t="shared" si="44"/>
        <v>0</v>
      </c>
      <c r="J218" s="92">
        <v>0</v>
      </c>
      <c r="K218" s="94">
        <f t="shared" si="45"/>
        <v>0</v>
      </c>
      <c r="L218" s="92">
        <v>0</v>
      </c>
      <c r="M218" s="93">
        <f t="shared" si="46"/>
        <v>0</v>
      </c>
      <c r="N218" s="92">
        <v>0</v>
      </c>
      <c r="O218" s="93">
        <f t="shared" si="46"/>
        <v>0</v>
      </c>
      <c r="P218" s="92">
        <v>0</v>
      </c>
      <c r="Q218" s="93">
        <f t="shared" si="43"/>
        <v>0</v>
      </c>
      <c r="R218" s="62">
        <f>_xlfn.XLOOKUP(B218,'Data (TB)'!$A$6:$A$554,'Data (TB)'!$E$6:$E$554,0)/'Data (TB)'!$C$2*12</f>
        <v>0</v>
      </c>
      <c r="S218" s="104">
        <f>-SUMIFS(Chris!$G$5:$G$150,Chris!$A$5:$A$150,B218)</f>
        <v>0</v>
      </c>
      <c r="T218" s="87">
        <f t="shared" si="41"/>
        <v>0</v>
      </c>
      <c r="U218" s="104">
        <f>SUMIFS(Chris!$H$5:$H$150,Chris!$A$5:$A$150,B218)</f>
        <v>0</v>
      </c>
      <c r="V218" s="93">
        <f t="shared" si="42"/>
        <v>0</v>
      </c>
      <c r="X218" s="1">
        <f>MATCH(B218,'Master Budget'!$G$4:$G$360,0)</f>
        <v>329</v>
      </c>
    </row>
    <row r="219" spans="1:24" x14ac:dyDescent="0.25">
      <c r="A219" s="1">
        <v>207</v>
      </c>
      <c r="B219" s="1" t="s">
        <v>800</v>
      </c>
      <c r="C219" s="1" t="s">
        <v>801</v>
      </c>
      <c r="D219" s="1">
        <f>_xlfn.XLOOKUP(B219,'Master Budget'!$G$4:$G$210,'Master Budget'!$D$4:$D$210,0)</f>
        <v>0</v>
      </c>
      <c r="E219" s="22">
        <v>-25923.38</v>
      </c>
      <c r="F219" s="84">
        <f>SUMIFS('Data (TB)'!$E$6:$E$524,'Data (TB)'!$A$6:$A$524,'Budget Worksheet'!B219)</f>
        <v>0</v>
      </c>
      <c r="G219" s="62">
        <f t="shared" si="40"/>
        <v>0</v>
      </c>
      <c r="H219" s="85">
        <v>-26000</v>
      </c>
      <c r="I219" s="86">
        <f t="shared" si="44"/>
        <v>26000</v>
      </c>
      <c r="J219" s="85">
        <v>-26000</v>
      </c>
      <c r="K219" s="87">
        <f t="shared" si="45"/>
        <v>0</v>
      </c>
      <c r="L219" s="85">
        <v>-26000</v>
      </c>
      <c r="M219" s="86">
        <f t="shared" si="46"/>
        <v>0</v>
      </c>
      <c r="N219" s="85">
        <v>-26000</v>
      </c>
      <c r="O219" s="86">
        <f t="shared" si="46"/>
        <v>0</v>
      </c>
      <c r="P219" s="85">
        <v>-28500</v>
      </c>
      <c r="Q219" s="86">
        <f t="shared" si="43"/>
        <v>2500</v>
      </c>
      <c r="R219" s="62">
        <f>_xlfn.XLOOKUP(B219,'Data (TB)'!$A$6:$A$554,'Data (TB)'!$E$6:$E$554,0)/'Data (TB)'!$C$2*12</f>
        <v>-30605.879999999997</v>
      </c>
      <c r="S219" s="100">
        <f>-SUMIFS(Chris!$G$5:$G$150,Chris!$A$5:$A$150,B219)</f>
        <v>-28500</v>
      </c>
      <c r="T219" s="87">
        <f t="shared" si="41"/>
        <v>-2105.8799999999974</v>
      </c>
      <c r="U219" s="100">
        <f>-SUMIFS(Chris!$H$5:$H$150,Chris!$A$5:$A$150,B219)</f>
        <v>-28500</v>
      </c>
      <c r="V219" s="86">
        <f t="shared" si="42"/>
        <v>-2105.8799999999974</v>
      </c>
      <c r="X219" s="1">
        <f>MATCH(B219,'Master Budget'!$G$4:$G$360,0)</f>
        <v>338</v>
      </c>
    </row>
    <row r="220" spans="1:24" x14ac:dyDescent="0.25">
      <c r="A220" s="1">
        <v>208</v>
      </c>
      <c r="B220" s="1" t="s">
        <v>802</v>
      </c>
      <c r="C220" s="1" t="s">
        <v>467</v>
      </c>
      <c r="D220" s="1">
        <f>_xlfn.XLOOKUP(B220,'Master Budget'!$G$4:$G$210,'Master Budget'!$D$4:$D$210,0)</f>
        <v>0</v>
      </c>
      <c r="E220" s="22">
        <v>-349.76</v>
      </c>
      <c r="F220" s="84">
        <f>SUMIFS('Data (TB)'!$E$6:$E$524,'Data (TB)'!$A$6:$A$524,'Budget Worksheet'!B220)</f>
        <v>0</v>
      </c>
      <c r="G220" s="62">
        <f t="shared" si="40"/>
        <v>0</v>
      </c>
      <c r="H220" s="85">
        <v>0</v>
      </c>
      <c r="I220" s="86">
        <f t="shared" si="44"/>
        <v>0</v>
      </c>
      <c r="J220" s="85">
        <v>0</v>
      </c>
      <c r="K220" s="87">
        <f t="shared" si="45"/>
        <v>0</v>
      </c>
      <c r="L220" s="85">
        <v>0</v>
      </c>
      <c r="M220" s="86">
        <f t="shared" si="46"/>
        <v>0</v>
      </c>
      <c r="N220" s="85">
        <v>0</v>
      </c>
      <c r="O220" s="86">
        <f t="shared" si="46"/>
        <v>0</v>
      </c>
      <c r="P220" s="85">
        <v>0</v>
      </c>
      <c r="Q220" s="86">
        <f t="shared" si="43"/>
        <v>0</v>
      </c>
      <c r="R220" s="62">
        <f>_xlfn.XLOOKUP(B220,'Data (TB)'!$A$6:$A$554,'Data (TB)'!$E$6:$E$554,0)/'Data (TB)'!$C$2*12</f>
        <v>-1073.3733333333332</v>
      </c>
      <c r="S220" s="100">
        <f>-SUMIFS(Chris!$G$5:$G$150,Chris!$A$5:$A$150,B220)</f>
        <v>0</v>
      </c>
      <c r="T220" s="87">
        <f t="shared" si="41"/>
        <v>-1073.3733333333332</v>
      </c>
      <c r="U220" s="100">
        <f>-SUMIFS(Chris!$H$5:$H$150,Chris!$A$5:$A$150,B220)</f>
        <v>0</v>
      </c>
      <c r="V220" s="86">
        <f t="shared" si="42"/>
        <v>-1073.3733333333332</v>
      </c>
      <c r="X220" s="1">
        <f>MATCH(B220,'Master Budget'!$G$4:$G$360,0)</f>
        <v>339</v>
      </c>
    </row>
    <row r="221" spans="1:24" x14ac:dyDescent="0.25">
      <c r="B221" s="1" t="s">
        <v>862</v>
      </c>
      <c r="C221" s="1" t="s">
        <v>734</v>
      </c>
      <c r="E221" s="22"/>
      <c r="F221" s="84"/>
      <c r="G221" s="62"/>
      <c r="H221" s="85"/>
      <c r="I221" s="86"/>
      <c r="J221" s="85">
        <v>0</v>
      </c>
      <c r="K221" s="87"/>
      <c r="L221" s="85">
        <v>0</v>
      </c>
      <c r="M221" s="86"/>
      <c r="N221" s="85">
        <v>0</v>
      </c>
      <c r="O221" s="86"/>
      <c r="P221" s="85">
        <v>8668.3726500000012</v>
      </c>
      <c r="Q221" s="86"/>
      <c r="R221" s="62">
        <f>_xlfn.XLOOKUP(B221,'Data (TB)'!$A$6:$A$554,'Data (TB)'!$E$6:$E$554,0)/'Data (TB)'!$C$2*12</f>
        <v>11766.4</v>
      </c>
      <c r="S221" s="100">
        <f>SUMIFS(Chris!$G$5:$G$150,Chris!$A$5:$A$150,B221)</f>
        <v>8659.8013600000013</v>
      </c>
      <c r="T221" s="87">
        <f t="shared" si="41"/>
        <v>-3106.5986399999983</v>
      </c>
      <c r="U221" s="100">
        <f>SUMIFS(Chris!$H$5:$H$150,Chris!$A$5:$A$150,B221)</f>
        <v>9126.9151999999995</v>
      </c>
      <c r="V221" s="86">
        <f t="shared" si="42"/>
        <v>2639.4848000000002</v>
      </c>
      <c r="X221" s="1">
        <f>MATCH(B221,'Master Budget'!$G$4:$G$360,0)</f>
        <v>340</v>
      </c>
    </row>
    <row r="222" spans="1:24" x14ac:dyDescent="0.25">
      <c r="B222" s="1" t="s">
        <v>863</v>
      </c>
      <c r="C222" s="1" t="s">
        <v>104</v>
      </c>
      <c r="E222" s="22"/>
      <c r="F222" s="84"/>
      <c r="G222" s="62"/>
      <c r="H222" s="85"/>
      <c r="I222" s="86"/>
      <c r="J222" s="85">
        <v>0</v>
      </c>
      <c r="K222" s="87"/>
      <c r="L222" s="85">
        <v>0</v>
      </c>
      <c r="M222" s="86"/>
      <c r="N222" s="85">
        <v>0</v>
      </c>
      <c r="O222" s="86"/>
      <c r="P222" s="85">
        <v>663.13050772500003</v>
      </c>
      <c r="Q222" s="86"/>
      <c r="R222" s="62">
        <f>_xlfn.XLOOKUP(B222,'Data (TB)'!$A$6:$A$554,'Data (TB)'!$E$6:$E$554,0)/'Data (TB)'!$C$2*12</f>
        <v>972.87999999999988</v>
      </c>
      <c r="S222" s="100">
        <f>SUMIFS(Chris!$G$5:$G$150,Chris!$A$5:$A$150,B222)</f>
        <v>662.47480404000009</v>
      </c>
      <c r="T222" s="87">
        <f t="shared" si="41"/>
        <v>-310.40519595999979</v>
      </c>
      <c r="U222" s="100">
        <f>SUMIFS(Chris!$H$5:$H$150,Chris!$A$5:$A$150,B222)</f>
        <v>698.20901279999987</v>
      </c>
      <c r="V222" s="86">
        <f t="shared" si="42"/>
        <v>274.67098720000001</v>
      </c>
      <c r="X222" s="1">
        <f>MATCH(B222,'Master Budget'!$G$4:$G$360,0)</f>
        <v>341</v>
      </c>
    </row>
    <row r="223" spans="1:24" x14ac:dyDescent="0.25">
      <c r="B223" s="1" t="s">
        <v>864</v>
      </c>
      <c r="C223" s="1" t="s">
        <v>106</v>
      </c>
      <c r="E223" s="22"/>
      <c r="F223" s="84"/>
      <c r="G223" s="62"/>
      <c r="H223" s="85"/>
      <c r="I223" s="86"/>
      <c r="J223" s="85">
        <v>0</v>
      </c>
      <c r="K223" s="87"/>
      <c r="L223" s="85">
        <v>0</v>
      </c>
      <c r="M223" s="86"/>
      <c r="N223" s="85">
        <v>0</v>
      </c>
      <c r="O223" s="86"/>
      <c r="P223" s="85">
        <v>1134</v>
      </c>
      <c r="Q223" s="86"/>
      <c r="R223" s="62">
        <f>_xlfn.XLOOKUP(B223,'Data (TB)'!$A$6:$A$554,'Data (TB)'!$E$6:$E$554,0)/'Data (TB)'!$C$2*12</f>
        <v>2498.64</v>
      </c>
      <c r="S223" s="100">
        <f>SUMIFS(Chris!$G$5:$G$150,Chris!$A$5:$A$150,B223)</f>
        <v>1134</v>
      </c>
      <c r="T223" s="87">
        <f t="shared" si="41"/>
        <v>-1364.6399999999999</v>
      </c>
      <c r="U223" s="100">
        <f>SUMIFS(Chris!$H$5:$H$150,Chris!$A$5:$A$150,B223)</f>
        <v>1197.5017599999999</v>
      </c>
      <c r="V223" s="86">
        <f t="shared" si="42"/>
        <v>1301.13824</v>
      </c>
      <c r="X223" s="1">
        <f>MATCH(B223,'Master Budget'!$G$4:$G$360,0)</f>
        <v>342</v>
      </c>
    </row>
    <row r="224" spans="1:24" x14ac:dyDescent="0.25">
      <c r="B224" s="1" t="s">
        <v>865</v>
      </c>
      <c r="C224" s="1" t="s">
        <v>108</v>
      </c>
      <c r="E224" s="22"/>
      <c r="F224" s="84"/>
      <c r="G224" s="62"/>
      <c r="H224" s="85"/>
      <c r="I224" s="86"/>
      <c r="J224" s="85">
        <v>0</v>
      </c>
      <c r="K224" s="87"/>
      <c r="L224" s="85">
        <v>0</v>
      </c>
      <c r="M224" s="86"/>
      <c r="N224" s="85">
        <v>0</v>
      </c>
      <c r="O224" s="86"/>
      <c r="P224" s="85">
        <v>1046.8824</v>
      </c>
      <c r="Q224" s="86"/>
      <c r="R224" s="62">
        <f>_xlfn.XLOOKUP(B224,'Data (TB)'!$A$6:$A$554,'Data (TB)'!$E$6:$E$554,0)/'Data (TB)'!$C$2*12</f>
        <v>3567.3466666666668</v>
      </c>
      <c r="S224" s="100">
        <f>SUMIFS(Chris!$G$5:$G$150,Chris!$A$5:$A$150,B224)</f>
        <v>1046.8824</v>
      </c>
      <c r="T224" s="87">
        <f t="shared" si="41"/>
        <v>-2520.4642666666668</v>
      </c>
      <c r="U224" s="100">
        <f>SUMIFS(Chris!$H$5:$H$150,Chris!$A$5:$A$150,B224)</f>
        <v>1130.8846035199999</v>
      </c>
      <c r="V224" s="86">
        <f t="shared" si="42"/>
        <v>2436.4620631466669</v>
      </c>
      <c r="X224" s="1">
        <f>MATCH(B224,'Master Budget'!$G$4:$G$360,0)</f>
        <v>343</v>
      </c>
    </row>
    <row r="225" spans="1:24" x14ac:dyDescent="0.25">
      <c r="B225" s="1" t="s">
        <v>866</v>
      </c>
      <c r="C225" s="1" t="s">
        <v>110</v>
      </c>
      <c r="E225" s="22"/>
      <c r="F225" s="84"/>
      <c r="G225" s="62"/>
      <c r="H225" s="85"/>
      <c r="I225" s="86"/>
      <c r="J225" s="85">
        <v>0</v>
      </c>
      <c r="K225" s="87"/>
      <c r="L225" s="85">
        <v>0</v>
      </c>
      <c r="M225" s="86"/>
      <c r="N225" s="85">
        <v>0</v>
      </c>
      <c r="O225" s="86"/>
      <c r="P225" s="85">
        <v>158.61578880000002</v>
      </c>
      <c r="Q225" s="86"/>
      <c r="R225" s="62">
        <f>_xlfn.XLOOKUP(B225,'Data (TB)'!$A$6:$A$554,'Data (TB)'!$E$6:$E$554,0)/'Data (TB)'!$C$2*12</f>
        <v>0</v>
      </c>
      <c r="S225" s="100">
        <f>SUMIFS(Chris!$G$5:$G$150,Chris!$A$5:$A$150,B225)</f>
        <v>158.19072</v>
      </c>
      <c r="T225" s="87">
        <f t="shared" si="41"/>
        <v>158.19072</v>
      </c>
      <c r="U225" s="100">
        <f>SUMIFS(Chris!$H$5:$H$150,Chris!$A$5:$A$150,B225)</f>
        <v>166.78022399999998</v>
      </c>
      <c r="V225" s="86">
        <f t="shared" si="42"/>
        <v>-166.78022399999998</v>
      </c>
      <c r="X225" s="1">
        <f>MATCH(B225,'Master Budget'!$G$4:$G$360,0)</f>
        <v>344</v>
      </c>
    </row>
    <row r="226" spans="1:24" x14ac:dyDescent="0.25">
      <c r="B226" s="1" t="s">
        <v>868</v>
      </c>
      <c r="C226" s="1" t="s">
        <v>114</v>
      </c>
      <c r="E226" s="22"/>
      <c r="F226" s="84"/>
      <c r="G226" s="62"/>
      <c r="H226" s="85"/>
      <c r="I226" s="86"/>
      <c r="J226" s="85">
        <v>0</v>
      </c>
      <c r="K226" s="87"/>
      <c r="L226" s="85">
        <v>0</v>
      </c>
      <c r="M226" s="86"/>
      <c r="N226" s="85">
        <v>0</v>
      </c>
      <c r="O226" s="86"/>
      <c r="P226" s="85">
        <v>19.200000000000003</v>
      </c>
      <c r="Q226" s="86"/>
      <c r="R226" s="62">
        <f>_xlfn.XLOOKUP(B226,'Data (TB)'!$A$6:$A$554,'Data (TB)'!$E$6:$E$554,0)/'Data (TB)'!$C$2*12</f>
        <v>0.70666666666666678</v>
      </c>
      <c r="S226" s="100">
        <f>SUMIFS(Chris!$G$5:$G$150,Chris!$A$5:$A$150,B226)</f>
        <v>19.200000000000003</v>
      </c>
      <c r="T226" s="87">
        <f t="shared" si="41"/>
        <v>18.493333333333336</v>
      </c>
      <c r="U226" s="100">
        <f>SUMIFS(Chris!$H$5:$H$150,Chris!$A$5:$A$150,B226)</f>
        <v>19.200000000000003</v>
      </c>
      <c r="V226" s="86">
        <f t="shared" si="42"/>
        <v>-18.493333333333336</v>
      </c>
      <c r="X226" s="1">
        <f>MATCH(B226,'Master Budget'!$G$4:$G$360,0)</f>
        <v>345</v>
      </c>
    </row>
    <row r="227" spans="1:24" x14ac:dyDescent="0.25">
      <c r="A227" s="1">
        <v>210</v>
      </c>
      <c r="B227" s="1" t="s">
        <v>804</v>
      </c>
      <c r="C227" s="1" t="s">
        <v>291</v>
      </c>
      <c r="D227" s="1">
        <f>_xlfn.XLOOKUP(B227,'Master Budget'!$G$4:$G$210,'Master Budget'!$D$4:$D$210,0)</f>
        <v>0</v>
      </c>
      <c r="E227" s="22">
        <v>0</v>
      </c>
      <c r="F227" s="84">
        <f>SUMIFS('Data (TB)'!$E$6:$E$524,'Data (TB)'!$A$6:$A$524,'Budget Worksheet'!B227)</f>
        <v>0</v>
      </c>
      <c r="G227" s="62">
        <f t="shared" si="40"/>
        <v>0</v>
      </c>
      <c r="H227" s="85">
        <v>0</v>
      </c>
      <c r="I227" s="86">
        <f t="shared" si="44"/>
        <v>0</v>
      </c>
      <c r="J227" s="85">
        <v>0</v>
      </c>
      <c r="K227" s="87">
        <f t="shared" si="45"/>
        <v>0</v>
      </c>
      <c r="L227" s="85">
        <v>0</v>
      </c>
      <c r="M227" s="86">
        <f t="shared" si="46"/>
        <v>0</v>
      </c>
      <c r="N227" s="85">
        <v>0</v>
      </c>
      <c r="O227" s="86">
        <f t="shared" si="46"/>
        <v>0</v>
      </c>
      <c r="P227" s="85">
        <v>0</v>
      </c>
      <c r="Q227" s="86">
        <f t="shared" ref="Q227:Q234" si="47">L227-P227</f>
        <v>0</v>
      </c>
      <c r="R227" s="62">
        <f>_xlfn.XLOOKUP(B227,'Data (TB)'!$A$6:$A$554,'Data (TB)'!$E$6:$E$554,0)/'Data (TB)'!$C$2*12</f>
        <v>3.4666666666666668</v>
      </c>
      <c r="S227" s="100">
        <f>SUMIFS(Chris!$G$5:$G$150,Chris!$A$5:$A$150,B227)</f>
        <v>0</v>
      </c>
      <c r="T227" s="87">
        <f t="shared" si="41"/>
        <v>-3.4666666666666668</v>
      </c>
      <c r="U227" s="100">
        <f>SUMIFS(Chris!$H$5:$H$150,Chris!$A$5:$A$150,B227)</f>
        <v>0</v>
      </c>
      <c r="V227" s="86">
        <f t="shared" si="42"/>
        <v>3.4666666666666668</v>
      </c>
      <c r="X227" s="1">
        <f>MATCH(B227,'Master Budget'!$G$4:$G$360,0)</f>
        <v>346</v>
      </c>
    </row>
    <row r="228" spans="1:24" x14ac:dyDescent="0.25">
      <c r="B228" s="1" t="s">
        <v>805</v>
      </c>
      <c r="C228" s="1" t="s">
        <v>295</v>
      </c>
      <c r="E228" s="22"/>
      <c r="F228" s="84"/>
      <c r="G228" s="62"/>
      <c r="H228" s="85"/>
      <c r="I228" s="86">
        <f t="shared" ref="I228" si="48">-H228+G228</f>
        <v>0</v>
      </c>
      <c r="J228" s="85">
        <v>0</v>
      </c>
      <c r="K228" s="87">
        <f t="shared" ref="K228" si="49">ROUND(H228-J228,0)</f>
        <v>0</v>
      </c>
      <c r="L228" s="85">
        <v>0</v>
      </c>
      <c r="M228" s="86">
        <f t="shared" ref="M228:O228" si="50">J228-L228</f>
        <v>0</v>
      </c>
      <c r="N228" s="85">
        <v>0</v>
      </c>
      <c r="O228" s="86">
        <f t="shared" si="50"/>
        <v>0</v>
      </c>
      <c r="P228" s="85">
        <v>0</v>
      </c>
      <c r="Q228" s="86">
        <f t="shared" si="47"/>
        <v>0</v>
      </c>
      <c r="R228" s="62">
        <f>_xlfn.XLOOKUP(B228,'Data (TB)'!$A$6:$A$554,'Data (TB)'!$E$6:$E$554,0)/'Data (TB)'!$C$2*12</f>
        <v>0</v>
      </c>
      <c r="S228" s="100">
        <f>SUMIFS(Chris!$G$5:$G$150,Chris!$A$5:$A$150,B228)</f>
        <v>0</v>
      </c>
      <c r="T228" s="87">
        <f t="shared" si="41"/>
        <v>0</v>
      </c>
      <c r="U228" s="100">
        <f>SUMIFS(Chris!$H$5:$H$150,Chris!$A$5:$A$150,B228)</f>
        <v>0</v>
      </c>
      <c r="V228" s="86">
        <f t="shared" si="42"/>
        <v>0</v>
      </c>
      <c r="X228" s="1">
        <f>MATCH(B228,'Master Budget'!$G$4:$G$360,0)</f>
        <v>347</v>
      </c>
    </row>
    <row r="229" spans="1:24" x14ac:dyDescent="0.25">
      <c r="A229" s="1">
        <v>211</v>
      </c>
      <c r="B229" s="1" t="s">
        <v>806</v>
      </c>
      <c r="C229" s="1" t="s">
        <v>432</v>
      </c>
      <c r="D229" s="1">
        <f>_xlfn.XLOOKUP(B229,'Master Budget'!$G$4:$G$210,'Master Budget'!$D$4:$D$210,0)</f>
        <v>0</v>
      </c>
      <c r="E229" s="22">
        <v>460</v>
      </c>
      <c r="F229" s="84">
        <f>SUMIFS('Data (TB)'!$E$6:$E$524,'Data (TB)'!$A$6:$A$524,'Budget Worksheet'!B229)</f>
        <v>0</v>
      </c>
      <c r="G229" s="62">
        <f t="shared" si="40"/>
        <v>0</v>
      </c>
      <c r="H229" s="85">
        <v>4000</v>
      </c>
      <c r="I229" s="86">
        <f t="shared" si="44"/>
        <v>-4000</v>
      </c>
      <c r="J229" s="85">
        <v>4000</v>
      </c>
      <c r="K229" s="87">
        <f t="shared" si="45"/>
        <v>0</v>
      </c>
      <c r="L229" s="85">
        <v>4000</v>
      </c>
      <c r="M229" s="86">
        <f t="shared" si="46"/>
        <v>0</v>
      </c>
      <c r="N229" s="85">
        <v>4000</v>
      </c>
      <c r="O229" s="86">
        <f t="shared" si="46"/>
        <v>0</v>
      </c>
      <c r="P229" s="85">
        <v>4000</v>
      </c>
      <c r="Q229" s="86">
        <f t="shared" si="47"/>
        <v>0</v>
      </c>
      <c r="R229" s="62">
        <f>_xlfn.XLOOKUP(B229,'Data (TB)'!$A$6:$A$554,'Data (TB)'!$E$6:$E$554,0)/'Data (TB)'!$C$2*12</f>
        <v>0</v>
      </c>
      <c r="S229" s="100">
        <f>SUMIFS(Chris!$G$5:$G$150,Chris!$A$5:$A$150,B229)</f>
        <v>4000</v>
      </c>
      <c r="T229" s="87">
        <f t="shared" si="41"/>
        <v>4000</v>
      </c>
      <c r="U229" s="100">
        <f>SUMIFS(Chris!$H$5:$H$150,Chris!$A$5:$A$150,B229)</f>
        <v>4000</v>
      </c>
      <c r="V229" s="86">
        <f t="shared" si="42"/>
        <v>-4000</v>
      </c>
      <c r="X229" s="1">
        <f>MATCH(B229,'Master Budget'!$G$4:$G$360,0)</f>
        <v>348</v>
      </c>
    </row>
    <row r="230" spans="1:24" x14ac:dyDescent="0.25">
      <c r="A230" s="1">
        <v>212</v>
      </c>
      <c r="B230" s="1" t="s">
        <v>807</v>
      </c>
      <c r="C230" s="1" t="s">
        <v>808</v>
      </c>
      <c r="D230" s="1">
        <f>_xlfn.XLOOKUP(B230,'Master Budget'!$G$4:$G$210,'Master Budget'!$D$4:$D$210,0)</f>
        <v>0</v>
      </c>
      <c r="E230" s="22">
        <v>14495.3</v>
      </c>
      <c r="F230" s="84">
        <f>SUMIFS('Data (TB)'!$E$6:$E$524,'Data (TB)'!$A$6:$A$524,'Budget Worksheet'!B230)</f>
        <v>0</v>
      </c>
      <c r="G230" s="62">
        <f t="shared" si="40"/>
        <v>0</v>
      </c>
      <c r="H230" s="85">
        <v>18824</v>
      </c>
      <c r="I230" s="86">
        <f t="shared" si="44"/>
        <v>-18824</v>
      </c>
      <c r="J230" s="85">
        <v>18824</v>
      </c>
      <c r="K230" s="87">
        <f t="shared" si="45"/>
        <v>0</v>
      </c>
      <c r="L230" s="85">
        <v>18824</v>
      </c>
      <c r="M230" s="86">
        <f t="shared" si="46"/>
        <v>0</v>
      </c>
      <c r="N230" s="85">
        <v>18240</v>
      </c>
      <c r="O230" s="86">
        <f t="shared" si="46"/>
        <v>584</v>
      </c>
      <c r="P230" s="85">
        <v>18240</v>
      </c>
      <c r="Q230" s="86">
        <f t="shared" si="47"/>
        <v>584</v>
      </c>
      <c r="R230" s="62">
        <f>_xlfn.XLOOKUP(B230,'Data (TB)'!$A$6:$A$554,'Data (TB)'!$E$6:$E$554,0)/'Data (TB)'!$C$2*12</f>
        <v>19786.013333333332</v>
      </c>
      <c r="S230" s="100">
        <f>SUMIFS(Chris!$G$5:$G$150,Chris!$A$5:$A$150,B230)</f>
        <v>18240</v>
      </c>
      <c r="T230" s="87">
        <f t="shared" si="41"/>
        <v>-1546.0133333333324</v>
      </c>
      <c r="U230" s="100">
        <f>SUMIFS(Chris!$H$5:$H$150,Chris!$A$5:$A$150,B230)</f>
        <v>18240</v>
      </c>
      <c r="V230" s="86">
        <f t="shared" si="42"/>
        <v>1546.0133333333324</v>
      </c>
      <c r="X230" s="1">
        <f>MATCH(B230,'Master Budget'!$G$4:$G$360,0)</f>
        <v>349</v>
      </c>
    </row>
    <row r="231" spans="1:24" x14ac:dyDescent="0.25">
      <c r="A231" s="1">
        <v>213</v>
      </c>
      <c r="B231" s="1" t="s">
        <v>809</v>
      </c>
      <c r="C231" s="1" t="s">
        <v>315</v>
      </c>
      <c r="D231" s="1">
        <f>_xlfn.XLOOKUP(B231,'Master Budget'!$G$4:$G$210,'Master Budget'!$D$4:$D$210,0)</f>
        <v>0</v>
      </c>
      <c r="E231" s="22">
        <v>0</v>
      </c>
      <c r="F231" s="84">
        <f>SUMIFS('Data (TB)'!$E$6:$E$524,'Data (TB)'!$A$6:$A$524,'Budget Worksheet'!B231)</f>
        <v>0</v>
      </c>
      <c r="G231" s="62">
        <f t="shared" si="40"/>
        <v>0</v>
      </c>
      <c r="H231" s="85">
        <v>0</v>
      </c>
      <c r="I231" s="86">
        <f t="shared" si="44"/>
        <v>0</v>
      </c>
      <c r="J231" s="85">
        <v>0</v>
      </c>
      <c r="K231" s="87">
        <f t="shared" si="45"/>
        <v>0</v>
      </c>
      <c r="L231" s="85">
        <v>0</v>
      </c>
      <c r="M231" s="86">
        <f t="shared" si="46"/>
        <v>0</v>
      </c>
      <c r="N231" s="85">
        <v>0</v>
      </c>
      <c r="O231" s="86">
        <f t="shared" si="46"/>
        <v>0</v>
      </c>
      <c r="P231" s="85">
        <v>0</v>
      </c>
      <c r="Q231" s="86">
        <f t="shared" si="47"/>
        <v>0</v>
      </c>
      <c r="R231" s="62">
        <f>_xlfn.XLOOKUP(B231,'Data (TB)'!$A$6:$A$554,'Data (TB)'!$E$6:$E$554,0)/'Data (TB)'!$C$2*12</f>
        <v>0</v>
      </c>
      <c r="S231" s="100">
        <f>SUMIFS(Chris!$G$5:$G$150,Chris!$A$5:$A$150,B231)</f>
        <v>0</v>
      </c>
      <c r="T231" s="87">
        <f t="shared" si="41"/>
        <v>0</v>
      </c>
      <c r="U231" s="100">
        <f>SUMIFS(Chris!$H$5:$H$150,Chris!$A$5:$A$150,B231)</f>
        <v>0</v>
      </c>
      <c r="V231" s="86">
        <f t="shared" si="42"/>
        <v>0</v>
      </c>
      <c r="X231" s="1">
        <f>MATCH(B231,'Master Budget'!$G$4:$G$360,0)</f>
        <v>350</v>
      </c>
    </row>
    <row r="232" spans="1:24" x14ac:dyDescent="0.25">
      <c r="A232" s="1">
        <v>214</v>
      </c>
      <c r="B232" s="1" t="s">
        <v>810</v>
      </c>
      <c r="C232" s="1" t="s">
        <v>43</v>
      </c>
      <c r="D232" s="1">
        <f>_xlfn.XLOOKUP(B232,'Master Budget'!$G$4:$G$210,'Master Budget'!$D$4:$D$210,0)</f>
        <v>0</v>
      </c>
      <c r="E232" s="22">
        <v>1877.73</v>
      </c>
      <c r="F232" s="84">
        <f>SUMIFS('Data (TB)'!$E$6:$E$524,'Data (TB)'!$A$6:$A$524,'Budget Worksheet'!B232)</f>
        <v>0</v>
      </c>
      <c r="G232" s="62">
        <f t="shared" si="40"/>
        <v>0</v>
      </c>
      <c r="H232" s="85">
        <v>2122.2400000000002</v>
      </c>
      <c r="I232" s="86">
        <f t="shared" si="44"/>
        <v>-2122.2400000000002</v>
      </c>
      <c r="J232" s="85">
        <v>2122</v>
      </c>
      <c r="K232" s="87">
        <f t="shared" si="45"/>
        <v>0</v>
      </c>
      <c r="L232" s="85">
        <v>2122</v>
      </c>
      <c r="M232" s="86">
        <f t="shared" si="46"/>
        <v>0</v>
      </c>
      <c r="N232" s="85">
        <v>2122</v>
      </c>
      <c r="O232" s="86">
        <f t="shared" si="46"/>
        <v>0</v>
      </c>
      <c r="P232" s="85">
        <v>2122</v>
      </c>
      <c r="Q232" s="86">
        <f t="shared" si="47"/>
        <v>0</v>
      </c>
      <c r="R232" s="62">
        <f>_xlfn.XLOOKUP(B232,'Data (TB)'!$A$6:$A$554,'Data (TB)'!$E$6:$E$554,0)/'Data (TB)'!$C$2*12</f>
        <v>0</v>
      </c>
      <c r="S232" s="100">
        <f>SUMIFS(Chris!$G$5:$G$150,Chris!$A$5:$A$150,B232)</f>
        <v>2122</v>
      </c>
      <c r="T232" s="87">
        <f t="shared" si="41"/>
        <v>2122</v>
      </c>
      <c r="U232" s="100">
        <f>SUMIFS(Chris!$H$5:$H$150,Chris!$A$5:$A$150,B232)</f>
        <v>2122</v>
      </c>
      <c r="V232" s="86">
        <f t="shared" si="42"/>
        <v>-2122</v>
      </c>
      <c r="X232" s="1">
        <f>MATCH(B232,'Master Budget'!$G$4:$G$360,0)</f>
        <v>351</v>
      </c>
    </row>
    <row r="233" spans="1:24" x14ac:dyDescent="0.25">
      <c r="A233" s="126">
        <v>215</v>
      </c>
      <c r="B233" s="126" t="s">
        <v>811</v>
      </c>
      <c r="C233" s="126" t="s">
        <v>344</v>
      </c>
      <c r="D233" s="126">
        <f>_xlfn.XLOOKUP(B233,'Master Budget'!$G$4:$G$210,'Master Budget'!$D$4:$D$210,0)</f>
        <v>0</v>
      </c>
      <c r="E233" s="127">
        <v>0</v>
      </c>
      <c r="F233" s="128">
        <f>SUMIFS('Data (TB)'!$E$6:$E$524,'Data (TB)'!$A$6:$A$524,'Budget Worksheet'!B233)</f>
        <v>0</v>
      </c>
      <c r="G233" s="129">
        <f t="shared" si="40"/>
        <v>0</v>
      </c>
      <c r="H233" s="130">
        <v>0</v>
      </c>
      <c r="I233" s="131">
        <f t="shared" si="44"/>
        <v>0</v>
      </c>
      <c r="J233" s="130">
        <v>0</v>
      </c>
      <c r="K233" s="132">
        <f t="shared" si="45"/>
        <v>0</v>
      </c>
      <c r="L233" s="130">
        <v>0</v>
      </c>
      <c r="M233" s="132">
        <f t="shared" si="46"/>
        <v>0</v>
      </c>
      <c r="N233" s="130">
        <v>0</v>
      </c>
      <c r="O233" s="132">
        <f t="shared" si="46"/>
        <v>0</v>
      </c>
      <c r="P233" s="130">
        <v>0</v>
      </c>
      <c r="Q233" s="132">
        <f t="shared" si="47"/>
        <v>0</v>
      </c>
      <c r="R233" s="62">
        <f>_xlfn.XLOOKUP(B233,'Data (TB)'!$A$6:$A$554,'Data (TB)'!$E$6:$E$554,0)/'Data (TB)'!$C$2*12</f>
        <v>0</v>
      </c>
      <c r="S233" s="129">
        <f>_xlfn.XLOOKUP(B233,'27 Capital Budget'!$N$6:$N$11,'27 Capital Budget'!$U$6:$U$11,0)</f>
        <v>0</v>
      </c>
      <c r="T233" s="87">
        <f t="shared" si="41"/>
        <v>0</v>
      </c>
      <c r="U233" s="129">
        <f>_xlfn.XLOOKUP(B233,'27 Capital Budget'!$N$6:$N$11,'27 Capital Budget'!$V$6:$V$11,0)</f>
        <v>0</v>
      </c>
      <c r="V233" s="132">
        <f t="shared" si="42"/>
        <v>0</v>
      </c>
      <c r="X233" s="1">
        <f>MATCH(B233,'Master Budget'!$G$4:$G$360,0)</f>
        <v>352</v>
      </c>
    </row>
    <row r="234" spans="1:24" x14ac:dyDescent="0.25">
      <c r="A234" s="1">
        <v>216</v>
      </c>
      <c r="B234" s="1" t="s">
        <v>812</v>
      </c>
      <c r="C234" s="1" t="s">
        <v>164</v>
      </c>
      <c r="D234" s="1">
        <f>_xlfn.XLOOKUP(B234,'Master Budget'!$G$4:$G$210,'Master Budget'!$D$4:$D$210,0)</f>
        <v>0</v>
      </c>
      <c r="E234" s="22">
        <v>0</v>
      </c>
      <c r="F234" s="84">
        <f>SUMIFS('Data (TB)'!$E$6:$E$524,'Data (TB)'!$A$6:$A$524,'Budget Worksheet'!B234)</f>
        <v>0</v>
      </c>
      <c r="G234" s="62">
        <f t="shared" si="40"/>
        <v>0</v>
      </c>
      <c r="H234" s="85">
        <v>0</v>
      </c>
      <c r="I234" s="86">
        <f t="shared" si="44"/>
        <v>0</v>
      </c>
      <c r="J234" s="85">
        <v>0</v>
      </c>
      <c r="K234" s="87">
        <f t="shared" si="45"/>
        <v>0</v>
      </c>
      <c r="L234" s="85">
        <v>0</v>
      </c>
      <c r="M234" s="86">
        <f t="shared" si="46"/>
        <v>0</v>
      </c>
      <c r="N234" s="85">
        <v>0</v>
      </c>
      <c r="O234" s="86">
        <f t="shared" si="46"/>
        <v>0</v>
      </c>
      <c r="P234" s="85">
        <v>0</v>
      </c>
      <c r="Q234" s="86">
        <f t="shared" si="47"/>
        <v>0</v>
      </c>
      <c r="R234" s="62">
        <f>_xlfn.XLOOKUP(B234,'Data (TB)'!$A$6:$A$554,'Data (TB)'!$E$6:$E$554,0)/'Data (TB)'!$C$2*12</f>
        <v>0</v>
      </c>
      <c r="S234" s="100">
        <f>SUMIFS(Chris!$G$5:$G$150,Chris!$A$5:$A$150,B234)</f>
        <v>0</v>
      </c>
      <c r="T234" s="87">
        <f t="shared" si="41"/>
        <v>0</v>
      </c>
      <c r="U234" s="100">
        <f>SUMIFS(Chris!$H$5:$H$150,Chris!$A$5:$A$150,B234)</f>
        <v>0</v>
      </c>
      <c r="V234" s="86">
        <f t="shared" si="42"/>
        <v>0</v>
      </c>
      <c r="X234" s="1" t="e">
        <f>MATCH(B234,'Master Budget'!$G$4:$G$360,0)</f>
        <v>#N/A</v>
      </c>
    </row>
  </sheetData>
  <autoFilter ref="A4:X234" xr:uid="{00000000-0001-0000-0100-000000000000}"/>
  <pageMargins left="0.7" right="0.7" top="0.75" bottom="0.75" header="0.3" footer="0.3"/>
  <pageSetup scale="4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93BD3-C186-45C5-B5A3-462D596E49BD}">
  <sheetPr>
    <tabColor theme="9" tint="0.59999389629810485"/>
  </sheetPr>
  <dimension ref="A4:I38"/>
  <sheetViews>
    <sheetView workbookViewId="0">
      <selection activeCell="A32" sqref="A32"/>
    </sheetView>
  </sheetViews>
  <sheetFormatPr defaultRowHeight="15" x14ac:dyDescent="0.25"/>
  <cols>
    <col min="1" max="1" width="10.5703125" bestFit="1" customWidth="1"/>
    <col min="2" max="3" width="13.5703125" customWidth="1"/>
    <col min="4" max="4" width="1.7109375" customWidth="1"/>
    <col min="5" max="6" width="13.5703125" customWidth="1"/>
    <col min="7" max="7" width="1.7109375" customWidth="1"/>
    <col min="8" max="9" width="13.5703125" customWidth="1"/>
  </cols>
  <sheetData>
    <row r="4" spans="1:9" x14ac:dyDescent="0.25">
      <c r="A4" s="179"/>
      <c r="B4" s="159" t="s">
        <v>1225</v>
      </c>
      <c r="C4" s="159"/>
      <c r="D4" s="179"/>
      <c r="E4" s="159" t="s">
        <v>1226</v>
      </c>
      <c r="F4" s="159"/>
      <c r="G4" s="179"/>
      <c r="H4" s="159" t="s">
        <v>1227</v>
      </c>
      <c r="I4" s="159"/>
    </row>
    <row r="5" spans="1:9" x14ac:dyDescent="0.25">
      <c r="A5" s="229" t="s">
        <v>1218</v>
      </c>
      <c r="B5" s="229" t="s">
        <v>1219</v>
      </c>
      <c r="C5" s="229" t="s">
        <v>1220</v>
      </c>
      <c r="D5" s="229"/>
      <c r="E5" s="229" t="s">
        <v>1219</v>
      </c>
      <c r="F5" s="229" t="s">
        <v>1220</v>
      </c>
      <c r="G5" s="229"/>
      <c r="H5" s="229" t="s">
        <v>1219</v>
      </c>
      <c r="I5" s="229" t="s">
        <v>1220</v>
      </c>
    </row>
    <row r="6" spans="1:9" ht="21" customHeight="1" x14ac:dyDescent="0.25">
      <c r="A6" s="230">
        <v>2026</v>
      </c>
      <c r="B6" s="155">
        <v>20552</v>
      </c>
      <c r="C6" s="155">
        <v>3918.4900000000002</v>
      </c>
      <c r="D6" s="155"/>
      <c r="E6" s="155">
        <v>138000</v>
      </c>
      <c r="F6" s="155">
        <v>22158.400000000001</v>
      </c>
      <c r="G6" s="155"/>
      <c r="H6" s="155">
        <v>170325.21</v>
      </c>
      <c r="I6" s="155">
        <v>147149.74</v>
      </c>
    </row>
    <row r="7" spans="1:9" x14ac:dyDescent="0.25">
      <c r="A7" s="230">
        <v>2027</v>
      </c>
      <c r="B7" s="155">
        <v>21531.4</v>
      </c>
      <c r="C7" s="155">
        <v>2939.1</v>
      </c>
      <c r="D7" s="155"/>
      <c r="E7" s="155">
        <v>141000</v>
      </c>
      <c r="F7" s="155">
        <v>19337.5</v>
      </c>
      <c r="G7" s="155"/>
      <c r="H7" s="155">
        <v>0</v>
      </c>
      <c r="I7" s="155">
        <v>142040.01999999999</v>
      </c>
    </row>
    <row r="8" spans="1:9" x14ac:dyDescent="0.25">
      <c r="A8" s="230">
        <v>2028</v>
      </c>
      <c r="B8" s="155">
        <v>22557.47</v>
      </c>
      <c r="C8" s="155">
        <v>1913.02</v>
      </c>
      <c r="D8" s="155"/>
      <c r="E8" s="155">
        <v>144000</v>
      </c>
      <c r="F8" s="155">
        <v>17485</v>
      </c>
      <c r="G8" s="155"/>
      <c r="H8" s="155">
        <v>119000</v>
      </c>
      <c r="I8" s="155">
        <v>142040.01999999999</v>
      </c>
    </row>
    <row r="9" spans="1:9" x14ac:dyDescent="0.25">
      <c r="A9" s="230">
        <v>2029</v>
      </c>
      <c r="B9" s="155"/>
      <c r="C9" s="155"/>
      <c r="D9" s="155"/>
      <c r="E9" s="155">
        <v>147000</v>
      </c>
      <c r="F9" s="155">
        <v>15593.5</v>
      </c>
      <c r="G9" s="155"/>
      <c r="H9" s="155">
        <v>124000</v>
      </c>
      <c r="I9" s="155">
        <v>137279.99</v>
      </c>
    </row>
    <row r="10" spans="1:9" x14ac:dyDescent="0.25">
      <c r="A10" s="230">
        <v>2030</v>
      </c>
      <c r="B10" s="155"/>
      <c r="C10" s="155"/>
      <c r="D10" s="155"/>
      <c r="E10" s="155">
        <v>151000</v>
      </c>
      <c r="F10" s="155">
        <v>13656.5</v>
      </c>
      <c r="G10" s="155"/>
      <c r="H10" s="155">
        <v>129000</v>
      </c>
      <c r="I10" s="155">
        <v>132320.01999999999</v>
      </c>
    </row>
    <row r="11" spans="1:9" x14ac:dyDescent="0.25">
      <c r="A11" s="230">
        <v>2031</v>
      </c>
      <c r="B11" s="155"/>
      <c r="C11" s="155"/>
      <c r="D11" s="155"/>
      <c r="E11" s="155">
        <v>154000</v>
      </c>
      <c r="F11" s="155">
        <v>11674</v>
      </c>
      <c r="G11" s="155"/>
      <c r="H11" s="155">
        <v>134000</v>
      </c>
      <c r="I11" s="155">
        <v>127159.99</v>
      </c>
    </row>
    <row r="12" spans="1:9" x14ac:dyDescent="0.25">
      <c r="A12" s="230">
        <v>2032</v>
      </c>
      <c r="B12" s="155"/>
      <c r="C12" s="155"/>
      <c r="D12" s="155"/>
      <c r="E12" s="155">
        <v>157000</v>
      </c>
      <c r="F12" s="155">
        <v>9652.5</v>
      </c>
      <c r="G12" s="155"/>
      <c r="H12" s="155">
        <v>139000</v>
      </c>
      <c r="I12" s="155">
        <v>121799.99</v>
      </c>
    </row>
    <row r="13" spans="1:9" x14ac:dyDescent="0.25">
      <c r="A13" s="230">
        <v>2033</v>
      </c>
      <c r="B13" s="155"/>
      <c r="C13" s="155"/>
      <c r="D13" s="155"/>
      <c r="E13" s="155">
        <v>161000</v>
      </c>
      <c r="F13" s="155">
        <v>7585.5</v>
      </c>
      <c r="G13" s="155"/>
      <c r="H13" s="155">
        <v>145000</v>
      </c>
      <c r="I13" s="155">
        <v>116240</v>
      </c>
    </row>
    <row r="14" spans="1:9" x14ac:dyDescent="0.25">
      <c r="A14" s="230">
        <v>2034</v>
      </c>
      <c r="B14" s="155"/>
      <c r="C14" s="155"/>
      <c r="D14" s="155"/>
      <c r="E14" s="155">
        <v>164000</v>
      </c>
      <c r="F14" s="155">
        <v>5473</v>
      </c>
      <c r="G14" s="155"/>
      <c r="H14" s="155">
        <v>151000</v>
      </c>
      <c r="I14" s="155">
        <v>110440.01</v>
      </c>
    </row>
    <row r="15" spans="1:9" x14ac:dyDescent="0.25">
      <c r="A15" s="230">
        <v>2035</v>
      </c>
      <c r="B15" s="155"/>
      <c r="C15" s="155"/>
      <c r="D15" s="155"/>
      <c r="E15" s="155">
        <v>168000</v>
      </c>
      <c r="F15" s="155">
        <v>3315</v>
      </c>
      <c r="G15" s="155"/>
      <c r="H15" s="155">
        <v>157000</v>
      </c>
      <c r="I15" s="155">
        <v>104400</v>
      </c>
    </row>
    <row r="16" spans="1:9" x14ac:dyDescent="0.25">
      <c r="A16" s="230">
        <v>2036</v>
      </c>
      <c r="B16" s="155"/>
      <c r="C16" s="155"/>
      <c r="D16" s="155"/>
      <c r="E16" s="155">
        <v>171000</v>
      </c>
      <c r="F16" s="155">
        <v>1111.5</v>
      </c>
      <c r="G16" s="155"/>
      <c r="H16" s="155">
        <v>163000</v>
      </c>
      <c r="I16" s="155">
        <v>98120.02</v>
      </c>
    </row>
    <row r="17" spans="1:9" x14ac:dyDescent="0.25">
      <c r="A17" s="230">
        <v>2037</v>
      </c>
      <c r="B17" s="155"/>
      <c r="C17" s="155"/>
      <c r="D17" s="155"/>
      <c r="E17" s="155"/>
      <c r="F17" s="155"/>
      <c r="G17" s="155"/>
      <c r="H17" s="155">
        <v>170000</v>
      </c>
      <c r="I17" s="155">
        <v>91599.98</v>
      </c>
    </row>
    <row r="18" spans="1:9" x14ac:dyDescent="0.25">
      <c r="A18" s="230">
        <v>2038</v>
      </c>
      <c r="B18" s="155"/>
      <c r="C18" s="155"/>
      <c r="D18" s="155"/>
      <c r="E18" s="155"/>
      <c r="F18" s="155"/>
      <c r="G18" s="155"/>
      <c r="H18" s="155">
        <v>176000</v>
      </c>
      <c r="I18" s="155">
        <v>84800.02</v>
      </c>
    </row>
    <row r="19" spans="1:9" x14ac:dyDescent="0.25">
      <c r="A19" s="230">
        <v>2039</v>
      </c>
      <c r="B19" s="155"/>
      <c r="C19" s="155"/>
      <c r="D19" s="155"/>
      <c r="E19" s="155"/>
      <c r="F19" s="155"/>
      <c r="G19" s="155"/>
      <c r="H19" s="155">
        <v>184000</v>
      </c>
      <c r="I19" s="155">
        <v>77760</v>
      </c>
    </row>
    <row r="20" spans="1:9" x14ac:dyDescent="0.25">
      <c r="A20" s="230">
        <v>2040</v>
      </c>
      <c r="B20" s="155"/>
      <c r="C20" s="155"/>
      <c r="D20" s="155"/>
      <c r="E20" s="155"/>
      <c r="F20" s="155"/>
      <c r="G20" s="155"/>
      <c r="H20" s="155">
        <v>191000</v>
      </c>
      <c r="I20" s="155">
        <v>70400.02</v>
      </c>
    </row>
    <row r="21" spans="1:9" x14ac:dyDescent="0.25">
      <c r="A21" s="230">
        <v>2041</v>
      </c>
      <c r="B21" s="155"/>
      <c r="C21" s="155"/>
      <c r="D21" s="155"/>
      <c r="E21" s="155"/>
      <c r="F21" s="155"/>
      <c r="G21" s="155"/>
      <c r="H21" s="155">
        <v>199000</v>
      </c>
      <c r="I21" s="155">
        <v>62759.99</v>
      </c>
    </row>
    <row r="22" spans="1:9" x14ac:dyDescent="0.25">
      <c r="A22" s="230">
        <v>2042</v>
      </c>
      <c r="B22" s="155"/>
      <c r="C22" s="155"/>
      <c r="D22" s="155"/>
      <c r="E22" s="155"/>
      <c r="F22" s="155"/>
      <c r="G22" s="155"/>
      <c r="H22" s="155">
        <v>206000</v>
      </c>
      <c r="I22" s="155">
        <v>54799.99</v>
      </c>
    </row>
    <row r="23" spans="1:9" x14ac:dyDescent="0.25">
      <c r="A23" s="230">
        <v>2043</v>
      </c>
      <c r="B23" s="155"/>
      <c r="C23" s="155"/>
      <c r="D23" s="155"/>
      <c r="E23" s="155"/>
      <c r="F23" s="155"/>
      <c r="G23" s="155"/>
      <c r="H23" s="155">
        <v>215000</v>
      </c>
      <c r="I23" s="155">
        <v>46559.99</v>
      </c>
    </row>
    <row r="24" spans="1:9" x14ac:dyDescent="0.25">
      <c r="A24" s="230">
        <v>2044</v>
      </c>
      <c r="B24" s="155"/>
      <c r="C24" s="155"/>
      <c r="D24" s="155"/>
      <c r="E24" s="155"/>
      <c r="F24" s="155"/>
      <c r="G24" s="155"/>
      <c r="H24" s="155">
        <v>223000</v>
      </c>
      <c r="I24" s="155">
        <v>37959.980000000003</v>
      </c>
    </row>
    <row r="25" spans="1:9" x14ac:dyDescent="0.25">
      <c r="A25" s="230">
        <v>2045</v>
      </c>
      <c r="B25" s="155"/>
      <c r="C25" s="155"/>
      <c r="D25" s="155"/>
      <c r="E25" s="155"/>
      <c r="F25" s="155"/>
      <c r="G25" s="155"/>
      <c r="H25" s="155">
        <v>232000</v>
      </c>
      <c r="I25" s="155">
        <v>29040.01</v>
      </c>
    </row>
    <row r="26" spans="1:9" x14ac:dyDescent="0.25">
      <c r="A26" s="230">
        <v>2046</v>
      </c>
      <c r="B26" s="155"/>
      <c r="C26" s="155"/>
      <c r="D26" s="155"/>
      <c r="E26" s="155"/>
      <c r="F26" s="155"/>
      <c r="G26" s="155"/>
      <c r="H26" s="155">
        <v>242000</v>
      </c>
      <c r="I26" s="155">
        <v>19760</v>
      </c>
    </row>
    <row r="27" spans="1:9" x14ac:dyDescent="0.25">
      <c r="A27" s="230">
        <v>2047</v>
      </c>
      <c r="B27" s="155"/>
      <c r="C27" s="155"/>
      <c r="D27" s="155"/>
      <c r="E27" s="155"/>
      <c r="F27" s="155"/>
      <c r="G27" s="155"/>
      <c r="H27" s="155">
        <v>252000</v>
      </c>
      <c r="I27" s="155">
        <v>10080</v>
      </c>
    </row>
    <row r="28" spans="1:9" x14ac:dyDescent="0.25">
      <c r="A28" s="230">
        <v>2048</v>
      </c>
      <c r="B28" s="155"/>
      <c r="C28" s="155"/>
      <c r="D28" s="155"/>
      <c r="E28" s="155"/>
      <c r="F28" s="155"/>
      <c r="G28" s="155"/>
      <c r="H28" s="155"/>
      <c r="I28" s="155"/>
    </row>
    <row r="29" spans="1:9" ht="15.75" thickBot="1" x14ac:dyDescent="0.3">
      <c r="B29" s="231">
        <v>64640.87</v>
      </c>
      <c r="C29" s="231">
        <v>8770.61</v>
      </c>
      <c r="D29" s="155"/>
      <c r="E29" s="231">
        <v>1696000</v>
      </c>
      <c r="F29" s="231">
        <v>127042.4</v>
      </c>
      <c r="G29" s="155"/>
      <c r="H29" s="231">
        <v>3721325.21</v>
      </c>
      <c r="I29" s="231">
        <v>1964509.78</v>
      </c>
    </row>
    <row r="30" spans="1:9" ht="15.75" thickTop="1" x14ac:dyDescent="0.25">
      <c r="B30" s="155"/>
      <c r="C30" s="155"/>
      <c r="D30" s="155"/>
      <c r="E30" s="155"/>
      <c r="F30" s="155"/>
      <c r="G30" s="155"/>
      <c r="H30" s="155">
        <v>3721325.21</v>
      </c>
      <c r="I30" s="155">
        <v>1965393.3399999999</v>
      </c>
    </row>
    <row r="31" spans="1:9" x14ac:dyDescent="0.25">
      <c r="B31" s="155"/>
      <c r="C31" s="155"/>
      <c r="D31" s="155"/>
      <c r="E31" s="155"/>
      <c r="F31" s="155"/>
      <c r="G31" s="155"/>
      <c r="H31" s="155"/>
      <c r="I31" s="155"/>
    </row>
    <row r="32" spans="1:9" x14ac:dyDescent="0.25">
      <c r="B32" s="155"/>
      <c r="C32" s="155"/>
      <c r="D32" s="155"/>
      <c r="E32" s="229">
        <v>2026</v>
      </c>
      <c r="F32" s="229">
        <v>2027</v>
      </c>
      <c r="G32" s="155"/>
      <c r="H32" s="155"/>
      <c r="I32" s="155"/>
    </row>
    <row r="33" spans="1:6" x14ac:dyDescent="0.25">
      <c r="A33" t="s">
        <v>323</v>
      </c>
      <c r="B33" t="s">
        <v>240</v>
      </c>
      <c r="E33" s="151">
        <f>B6</f>
        <v>20552</v>
      </c>
      <c r="F33" s="151">
        <f>B7</f>
        <v>21531.4</v>
      </c>
    </row>
    <row r="34" spans="1:6" x14ac:dyDescent="0.25">
      <c r="A34" t="s">
        <v>324</v>
      </c>
      <c r="B34" t="s">
        <v>23</v>
      </c>
      <c r="E34" s="151">
        <f>C6</f>
        <v>3918.4900000000002</v>
      </c>
      <c r="F34" s="151">
        <f>C7</f>
        <v>2939.1</v>
      </c>
    </row>
    <row r="35" spans="1:6" x14ac:dyDescent="0.25">
      <c r="A35" t="s">
        <v>664</v>
      </c>
      <c r="B35" t="s">
        <v>665</v>
      </c>
      <c r="E35" s="151">
        <f>E6</f>
        <v>138000</v>
      </c>
      <c r="F35" s="151">
        <f>E7</f>
        <v>141000</v>
      </c>
    </row>
    <row r="36" spans="1:6" x14ac:dyDescent="0.25">
      <c r="A36" t="s">
        <v>666</v>
      </c>
      <c r="B36" t="s">
        <v>23</v>
      </c>
      <c r="E36" s="151">
        <f>F6</f>
        <v>22158.400000000001</v>
      </c>
      <c r="F36" s="151">
        <f>F7</f>
        <v>19337.5</v>
      </c>
    </row>
    <row r="37" spans="1:6" x14ac:dyDescent="0.25">
      <c r="A37" t="s">
        <v>781</v>
      </c>
      <c r="B37" t="s">
        <v>665</v>
      </c>
      <c r="E37" s="151">
        <f>H6</f>
        <v>170325.21</v>
      </c>
      <c r="F37" s="151">
        <f>H7</f>
        <v>0</v>
      </c>
    </row>
    <row r="38" spans="1:6" x14ac:dyDescent="0.25">
      <c r="A38" t="s">
        <v>783</v>
      </c>
      <c r="B38" t="s">
        <v>23</v>
      </c>
      <c r="E38" s="151">
        <f>I6</f>
        <v>147149.74</v>
      </c>
      <c r="F38" s="151">
        <f>I7</f>
        <v>142040.01999999999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85880-E322-437B-A79C-2F97ED349052}">
  <sheetPr>
    <tabColor theme="9" tint="0.59999389629810485"/>
    <pageSetUpPr fitToPage="1"/>
  </sheetPr>
  <dimension ref="A1:U83"/>
  <sheetViews>
    <sheetView zoomScaleNormal="100" zoomScaleSheetLayoutView="85" workbookViewId="0">
      <selection activeCell="H1" sqref="H1:H1048576"/>
    </sheetView>
  </sheetViews>
  <sheetFormatPr defaultRowHeight="15" x14ac:dyDescent="0.25"/>
  <cols>
    <col min="1" max="1" width="27.140625" style="1" customWidth="1"/>
    <col min="2" max="4" width="13.5703125" style="1" customWidth="1"/>
    <col min="5" max="5" width="16.42578125" style="1" customWidth="1"/>
    <col min="6" max="7" width="13.5703125" style="1" customWidth="1"/>
    <col min="8" max="8" width="14.7109375" style="1" customWidth="1"/>
    <col min="9" max="10" width="9" style="1" bestFit="1" customWidth="1"/>
    <col min="11" max="11" width="16.5703125" style="10" bestFit="1" customWidth="1"/>
    <col min="12" max="12" width="12.28515625" style="1" bestFit="1" customWidth="1"/>
    <col min="13" max="13" width="9.5703125" style="1" bestFit="1" customWidth="1"/>
    <col min="14" max="17" width="9.140625" style="1"/>
    <col min="18" max="18" width="13.42578125" style="1" bestFit="1" customWidth="1"/>
    <col min="19" max="16384" width="9.140625" style="1"/>
  </cols>
  <sheetData>
    <row r="1" spans="1:18" x14ac:dyDescent="0.25">
      <c r="A1" s="7" t="s">
        <v>825</v>
      </c>
    </row>
    <row r="2" spans="1:18" x14ac:dyDescent="0.25">
      <c r="A2" s="77" t="s">
        <v>887</v>
      </c>
      <c r="B2" s="4"/>
      <c r="C2" s="4"/>
      <c r="D2" s="4"/>
      <c r="E2" s="4"/>
      <c r="F2" s="4"/>
      <c r="G2" s="4"/>
      <c r="H2" s="4"/>
    </row>
    <row r="3" spans="1:18" x14ac:dyDescent="0.25">
      <c r="B3" s="5" t="s">
        <v>888</v>
      </c>
      <c r="C3" s="5" t="s">
        <v>889</v>
      </c>
      <c r="F3" s="5" t="s">
        <v>888</v>
      </c>
      <c r="G3" s="5" t="s">
        <v>889</v>
      </c>
      <c r="K3" s="1"/>
    </row>
    <row r="4" spans="1:18" x14ac:dyDescent="0.25">
      <c r="A4" s="1" t="s">
        <v>890</v>
      </c>
      <c r="B4" s="33">
        <v>2217.7199999999998</v>
      </c>
      <c r="C4" s="33">
        <f>B4*12</f>
        <v>26612.639999999999</v>
      </c>
      <c r="E4" s="1" t="s">
        <v>891</v>
      </c>
      <c r="F4" s="37">
        <v>0.02</v>
      </c>
      <c r="K4" s="1"/>
    </row>
    <row r="5" spans="1:18" x14ac:dyDescent="0.25">
      <c r="A5" s="1" t="s">
        <v>892</v>
      </c>
      <c r="B5" s="10">
        <v>133.30000000000001</v>
      </c>
      <c r="C5" s="10">
        <f>B5*12</f>
        <v>1599.6000000000001</v>
      </c>
      <c r="E5" s="1" t="s">
        <v>106</v>
      </c>
      <c r="F5" s="38">
        <v>0.2</v>
      </c>
      <c r="K5" s="1"/>
    </row>
    <row r="6" spans="1:18" x14ac:dyDescent="0.25">
      <c r="A6" s="1" t="s">
        <v>893</v>
      </c>
      <c r="B6" s="36">
        <v>5.0000000000000001E-3</v>
      </c>
      <c r="C6" s="10"/>
      <c r="E6" s="1" t="s">
        <v>894</v>
      </c>
      <c r="F6" s="37">
        <v>7.6499999999999999E-2</v>
      </c>
      <c r="K6" s="1"/>
    </row>
    <row r="7" spans="1:18" x14ac:dyDescent="0.25">
      <c r="A7" s="1" t="s">
        <v>895</v>
      </c>
      <c r="B7" s="10">
        <v>3.2</v>
      </c>
      <c r="C7" s="10">
        <f>B7*12</f>
        <v>38.400000000000006</v>
      </c>
      <c r="E7" s="3" t="s">
        <v>896</v>
      </c>
      <c r="G7" s="36">
        <v>2.5000000000000001E-2</v>
      </c>
      <c r="K7" s="1"/>
    </row>
    <row r="8" spans="1:18" x14ac:dyDescent="0.25">
      <c r="E8" s="181" t="s">
        <v>897</v>
      </c>
      <c r="G8" s="183">
        <v>2.5000000000000001E-2</v>
      </c>
      <c r="K8" s="1"/>
    </row>
    <row r="9" spans="1:18" x14ac:dyDescent="0.25">
      <c r="A9" s="40" t="s">
        <v>898</v>
      </c>
      <c r="B9" s="41" t="s">
        <v>268</v>
      </c>
      <c r="C9" s="41" t="s">
        <v>269</v>
      </c>
      <c r="D9" s="41" t="s">
        <v>270</v>
      </c>
      <c r="E9" s="41" t="s">
        <v>271</v>
      </c>
      <c r="F9" s="41" t="s">
        <v>272</v>
      </c>
      <c r="G9" s="41" t="s">
        <v>274</v>
      </c>
      <c r="I9" s="47" t="s">
        <v>899</v>
      </c>
      <c r="J9" s="47" t="s">
        <v>899</v>
      </c>
      <c r="K9" s="47" t="s">
        <v>899</v>
      </c>
      <c r="L9" s="47" t="s">
        <v>899</v>
      </c>
      <c r="Q9" s="1" t="s">
        <v>268</v>
      </c>
      <c r="R9" s="10">
        <f t="shared" ref="R9:R15" si="0">_xlfn.XLOOKUP(Q9,$B$9:$G$9,$B$19:$G$19,0)</f>
        <v>752263.28600000008</v>
      </c>
    </row>
    <row r="10" spans="1:18" s="6" customFormat="1" x14ac:dyDescent="0.25">
      <c r="B10" s="5" t="s">
        <v>900</v>
      </c>
      <c r="C10" s="5" t="s">
        <v>901</v>
      </c>
      <c r="D10" s="5" t="s">
        <v>106</v>
      </c>
      <c r="E10" s="5" t="s">
        <v>902</v>
      </c>
      <c r="F10" s="5" t="s">
        <v>903</v>
      </c>
      <c r="G10" s="5" t="s">
        <v>114</v>
      </c>
      <c r="H10" s="5" t="s">
        <v>904</v>
      </c>
      <c r="I10" s="5" t="s">
        <v>1217</v>
      </c>
      <c r="J10" s="5" t="s">
        <v>905</v>
      </c>
      <c r="K10" s="5" t="s">
        <v>906</v>
      </c>
      <c r="L10" s="5" t="s">
        <v>1216</v>
      </c>
      <c r="Q10" s="6" t="s">
        <v>269</v>
      </c>
      <c r="R10" s="10">
        <f t="shared" si="0"/>
        <v>57548.141378999993</v>
      </c>
    </row>
    <row r="11" spans="1:18" x14ac:dyDescent="0.25">
      <c r="A11" s="7" t="s">
        <v>907</v>
      </c>
      <c r="B11" s="10"/>
      <c r="C11" s="10"/>
      <c r="D11" s="10"/>
      <c r="E11" s="10"/>
      <c r="F11" s="10"/>
      <c r="G11" s="10"/>
      <c r="I11" s="7"/>
      <c r="J11" s="7"/>
      <c r="K11" s="42"/>
      <c r="Q11" s="1" t="s">
        <v>270</v>
      </c>
      <c r="R11" s="10">
        <f t="shared" si="0"/>
        <v>98664.842199999999</v>
      </c>
    </row>
    <row r="12" spans="1:18" x14ac:dyDescent="0.25">
      <c r="A12" s="1" t="s">
        <v>908</v>
      </c>
      <c r="B12" s="50">
        <f>K12*J12</f>
        <v>153647.5</v>
      </c>
      <c r="C12" s="48">
        <f t="shared" ref="C12:C17" si="1">B12*$F$6</f>
        <v>11754.033750000001</v>
      </c>
      <c r="D12" s="48">
        <f>B12*$F$5</f>
        <v>30729.5</v>
      </c>
      <c r="E12" s="48" cm="1">
        <f t="array" ref="E12">SUM(($C$4:$C$5)+(B12*$B$6))*J12</f>
        <v>29748.715</v>
      </c>
      <c r="F12" s="48">
        <f t="shared" ref="F12:F17" si="2">B12*$F$4</f>
        <v>3072.9500000000003</v>
      </c>
      <c r="G12" s="48">
        <v>0</v>
      </c>
      <c r="I12" s="228">
        <v>1</v>
      </c>
      <c r="J12" s="49">
        <v>1</v>
      </c>
      <c r="K12" s="49">
        <f>(149900*G7)+149900</f>
        <v>153647.5</v>
      </c>
      <c r="L12" s="69"/>
      <c r="Q12" s="1" t="s">
        <v>271</v>
      </c>
      <c r="R12" s="10">
        <f t="shared" si="0"/>
        <v>183789.54084</v>
      </c>
    </row>
    <row r="13" spans="1:18" x14ac:dyDescent="0.25">
      <c r="A13" s="78" t="s">
        <v>909</v>
      </c>
      <c r="B13" s="79">
        <f>K13*J13</f>
        <v>315379.011</v>
      </c>
      <c r="C13" s="79">
        <f t="shared" si="1"/>
        <v>24126.494341499998</v>
      </c>
      <c r="D13" s="79">
        <f>B13*$F$5</f>
        <v>63075.802200000006</v>
      </c>
      <c r="E13" s="79" cm="1">
        <f t="array" ref="E13">SUM(($C$4:$C$5)+(B13*$B$6))*J13</f>
        <v>125464.12044</v>
      </c>
      <c r="F13" s="79">
        <f t="shared" si="2"/>
        <v>6307.5802199999998</v>
      </c>
      <c r="G13" s="79">
        <v>0</v>
      </c>
      <c r="H13" s="78"/>
      <c r="I13" s="228">
        <v>1</v>
      </c>
      <c r="J13" s="49">
        <v>4</v>
      </c>
      <c r="K13" s="49">
        <f>(L13*(1+$G$7))</f>
        <v>78844.75275</v>
      </c>
      <c r="L13" s="69">
        <v>76921.710000000006</v>
      </c>
      <c r="Q13" s="1" t="s">
        <v>272</v>
      </c>
      <c r="R13" s="10">
        <f t="shared" si="0"/>
        <v>15045.265719999999</v>
      </c>
    </row>
    <row r="14" spans="1:18" x14ac:dyDescent="0.25">
      <c r="A14" s="1" t="s">
        <v>910</v>
      </c>
      <c r="B14" s="62">
        <f t="shared" ref="B14" si="3">K14*J14</f>
        <v>194584.31999999998</v>
      </c>
      <c r="C14" s="62">
        <f t="shared" si="1"/>
        <v>14885.700479999998</v>
      </c>
      <c r="D14" s="62">
        <v>0</v>
      </c>
      <c r="E14" s="62">
        <v>0</v>
      </c>
      <c r="F14" s="62">
        <f t="shared" si="2"/>
        <v>3891.6863999999996</v>
      </c>
      <c r="G14" s="62">
        <v>0</v>
      </c>
      <c r="I14" s="228">
        <v>1</v>
      </c>
      <c r="J14" s="49">
        <v>1</v>
      </c>
      <c r="K14" s="49">
        <f>(336*24)*24.13</f>
        <v>194584.31999999998</v>
      </c>
      <c r="L14" s="69"/>
      <c r="Q14" s="1" t="s">
        <v>274</v>
      </c>
      <c r="R14" s="10">
        <f t="shared" si="0"/>
        <v>38.400000000000006</v>
      </c>
    </row>
    <row r="15" spans="1:18" x14ac:dyDescent="0.25">
      <c r="A15" s="1" t="s">
        <v>911</v>
      </c>
      <c r="B15" s="50">
        <f>K15*J15</f>
        <v>41200.899999999994</v>
      </c>
      <c r="C15" s="50">
        <f t="shared" si="1"/>
        <v>3151.8688499999994</v>
      </c>
      <c r="D15" s="50">
        <f>ROUND((B15*$F$5)/3,2)</f>
        <v>2746.73</v>
      </c>
      <c r="E15" s="50" cm="1">
        <f t="array" ref="E15">SUM(($C$4:$C$5)+(B15*$B$6))*J15</f>
        <v>14312.1245</v>
      </c>
      <c r="F15" s="50">
        <f t="shared" si="2"/>
        <v>824.01799999999992</v>
      </c>
      <c r="G15" s="50">
        <f>$C$7*J15</f>
        <v>19.200000000000003</v>
      </c>
      <c r="I15" s="228">
        <v>1</v>
      </c>
      <c r="J15" s="49">
        <v>0.5</v>
      </c>
      <c r="K15" s="49">
        <f>(L15*(1+$G$7))</f>
        <v>82401.799999999988</v>
      </c>
      <c r="L15" s="69">
        <v>80392</v>
      </c>
      <c r="Q15" s="1" t="s">
        <v>274</v>
      </c>
      <c r="R15" s="10">
        <f t="shared" si="0"/>
        <v>38.400000000000006</v>
      </c>
    </row>
    <row r="16" spans="1:18" x14ac:dyDescent="0.25">
      <c r="A16" s="78" t="s">
        <v>912</v>
      </c>
      <c r="B16" s="79">
        <f t="shared" ref="B16:B17" si="4">K16*J16</f>
        <v>31692.179999999997</v>
      </c>
      <c r="C16" s="79">
        <f t="shared" si="1"/>
        <v>2424.4517699999997</v>
      </c>
      <c r="D16" s="79">
        <f>ROUND((B16*$F$5)/3,2)</f>
        <v>2112.81</v>
      </c>
      <c r="E16" s="79" cm="1">
        <f t="array" ref="E16">SUM(($C$4:$C$5)+(B16*$B$6))*J16</f>
        <v>14264.580899999999</v>
      </c>
      <c r="F16" s="79">
        <f t="shared" si="2"/>
        <v>633.84359999999992</v>
      </c>
      <c r="G16" s="79">
        <f>$C$7*J16</f>
        <v>19.200000000000003</v>
      </c>
      <c r="H16" s="78"/>
      <c r="I16" s="228">
        <v>1</v>
      </c>
      <c r="J16" s="49">
        <v>0.5</v>
      </c>
      <c r="K16" s="49">
        <f>(L16*(1+$G$7))</f>
        <v>63384.359999999993</v>
      </c>
      <c r="L16" s="69">
        <v>61838.400000000001</v>
      </c>
    </row>
    <row r="17" spans="1:21" x14ac:dyDescent="0.25">
      <c r="A17" s="1" t="s">
        <v>913</v>
      </c>
      <c r="B17" s="50">
        <f t="shared" si="4"/>
        <v>15759.374999999998</v>
      </c>
      <c r="C17" s="50">
        <f t="shared" si="1"/>
        <v>1205.5921874999999</v>
      </c>
      <c r="D17" s="50">
        <v>0</v>
      </c>
      <c r="E17" s="50">
        <v>0</v>
      </c>
      <c r="F17" s="50">
        <f t="shared" si="2"/>
        <v>315.18749999999994</v>
      </c>
      <c r="G17" s="50">
        <v>0</v>
      </c>
      <c r="I17" s="228">
        <v>1</v>
      </c>
      <c r="J17" s="49">
        <v>0.5</v>
      </c>
      <c r="K17" s="49">
        <f>(L17*(1+$G$7))</f>
        <v>31518.749999999996</v>
      </c>
      <c r="L17" s="69">
        <v>30750</v>
      </c>
    </row>
    <row r="18" spans="1:21" x14ac:dyDescent="0.25">
      <c r="B18" s="10"/>
      <c r="C18" s="10"/>
      <c r="D18" s="10"/>
      <c r="E18" s="10"/>
      <c r="F18" s="10"/>
      <c r="G18" s="10"/>
      <c r="I18" s="10"/>
      <c r="J18" s="10"/>
      <c r="L18" s="162"/>
    </row>
    <row r="19" spans="1:21" ht="15.75" thickBot="1" x14ac:dyDescent="0.3">
      <c r="A19" s="40" t="s">
        <v>914</v>
      </c>
      <c r="B19" s="43">
        <f>SUM(B12:B18)</f>
        <v>752263.28600000008</v>
      </c>
      <c r="C19" s="43">
        <f t="shared" ref="C19:G19" si="5">SUM(C12:C18)</f>
        <v>57548.141378999993</v>
      </c>
      <c r="D19" s="43">
        <f t="shared" si="5"/>
        <v>98664.842199999999</v>
      </c>
      <c r="E19" s="43">
        <f t="shared" si="5"/>
        <v>183789.54084</v>
      </c>
      <c r="F19" s="43">
        <f t="shared" si="5"/>
        <v>15045.265719999999</v>
      </c>
      <c r="G19" s="43">
        <f t="shared" si="5"/>
        <v>38.400000000000006</v>
      </c>
      <c r="H19" s="43">
        <f>SUM(B19:G19)</f>
        <v>1107349.4761389999</v>
      </c>
      <c r="I19" s="10"/>
      <c r="J19" s="10"/>
      <c r="L19" s="162"/>
    </row>
    <row r="20" spans="1:21" ht="15.75" thickTop="1" x14ac:dyDescent="0.25">
      <c r="A20" s="1" t="s">
        <v>915</v>
      </c>
      <c r="B20" s="51">
        <f>_xlfn.XLOOKUP(B9,'Master Budget'!$G$4:$G$360,'Master Budget'!$P$4:$P$360,0)</f>
        <v>752263.28600000008</v>
      </c>
      <c r="C20" s="51">
        <f>_xlfn.XLOOKUP(C9,'Master Budget'!$G$4:$G$360,'Master Budget'!$P$4:$P$360,0)</f>
        <v>57548.141378999993</v>
      </c>
      <c r="D20" s="51">
        <f>_xlfn.XLOOKUP(D9,'Master Budget'!$G$4:$G$360,'Master Budget'!$P$4:$P$360,0)</f>
        <v>98664.842199999999</v>
      </c>
      <c r="E20" s="51">
        <f>_xlfn.XLOOKUP(E9,'Master Budget'!$G$4:$G$360,'Master Budget'!$P$4:$P$360,0)</f>
        <v>183789.54084</v>
      </c>
      <c r="F20" s="51">
        <f>_xlfn.XLOOKUP(F9,'Master Budget'!$G$4:$G$360,'Master Budget'!$P$4:$P$360,0)</f>
        <v>15045.265719999999</v>
      </c>
      <c r="G20" s="51">
        <f>_xlfn.XLOOKUP(G9,'Master Budget'!$G$4:$G$360,'Master Budget'!$N$4:$N$360,0)</f>
        <v>38.400000000000006</v>
      </c>
      <c r="H20" s="35"/>
      <c r="L20" s="162"/>
    </row>
    <row r="21" spans="1:21" x14ac:dyDescent="0.25">
      <c r="B21" s="52">
        <f>B19-B20</f>
        <v>0</v>
      </c>
      <c r="C21" s="52">
        <f>C19-C20</f>
        <v>0</v>
      </c>
      <c r="D21" s="52">
        <f>D19-D20</f>
        <v>0</v>
      </c>
      <c r="E21" s="52">
        <f>E19-E20</f>
        <v>0</v>
      </c>
      <c r="F21" s="52">
        <f>F19-F20</f>
        <v>0</v>
      </c>
      <c r="G21" s="35"/>
      <c r="H21" s="35"/>
    </row>
    <row r="22" spans="1:21" ht="21" customHeight="1" x14ac:dyDescent="0.25">
      <c r="B22" s="10"/>
      <c r="C22" s="10"/>
      <c r="D22" s="10"/>
      <c r="E22" s="10"/>
      <c r="F22" s="10"/>
      <c r="G22" s="10"/>
    </row>
    <row r="23" spans="1:21" ht="21" customHeight="1" x14ac:dyDescent="0.25">
      <c r="A23" s="40" t="s">
        <v>898</v>
      </c>
      <c r="B23" s="41" t="s">
        <v>424</v>
      </c>
      <c r="C23" s="41" t="s">
        <v>425</v>
      </c>
      <c r="D23" s="41" t="s">
        <v>426</v>
      </c>
      <c r="E23" s="41" t="s">
        <v>838</v>
      </c>
      <c r="F23" s="41" t="s">
        <v>427</v>
      </c>
      <c r="G23" s="41" t="s">
        <v>840</v>
      </c>
      <c r="I23" s="47" t="s">
        <v>899</v>
      </c>
      <c r="J23" s="47" t="s">
        <v>899</v>
      </c>
      <c r="K23" s="47" t="s">
        <v>899</v>
      </c>
      <c r="L23" s="47" t="s">
        <v>899</v>
      </c>
    </row>
    <row r="24" spans="1:21" ht="21" customHeight="1" x14ac:dyDescent="0.25">
      <c r="A24" s="7" t="s">
        <v>916</v>
      </c>
      <c r="B24" s="5" t="s">
        <v>900</v>
      </c>
      <c r="C24" s="5" t="s">
        <v>901</v>
      </c>
      <c r="D24" s="5" t="s">
        <v>106</v>
      </c>
      <c r="E24" s="5" t="s">
        <v>902</v>
      </c>
      <c r="F24" s="5" t="s">
        <v>903</v>
      </c>
      <c r="G24" s="5"/>
      <c r="H24" s="5" t="s">
        <v>904</v>
      </c>
      <c r="I24" s="5" t="s">
        <v>1217</v>
      </c>
      <c r="J24" s="5" t="s">
        <v>905</v>
      </c>
      <c r="K24" s="6" t="s">
        <v>906</v>
      </c>
      <c r="L24" s="5" t="s">
        <v>1216</v>
      </c>
    </row>
    <row r="25" spans="1:21" x14ac:dyDescent="0.25">
      <c r="A25" s="1" t="s">
        <v>917</v>
      </c>
      <c r="B25" s="50">
        <f t="shared" ref="B25:B30" si="6">K25*J25</f>
        <v>20000</v>
      </c>
      <c r="C25" s="50">
        <f t="shared" ref="C25:C31" si="7">B25*$F$6</f>
        <v>1530</v>
      </c>
      <c r="D25" s="185">
        <v>0</v>
      </c>
      <c r="E25" s="185"/>
      <c r="F25" s="50">
        <f t="shared" ref="F25:F30" si="8">B25*$F$4</f>
        <v>400</v>
      </c>
      <c r="G25" s="50">
        <v>0</v>
      </c>
      <c r="I25" s="228">
        <v>1</v>
      </c>
      <c r="J25" s="49">
        <v>1</v>
      </c>
      <c r="K25" s="49">
        <v>20000</v>
      </c>
      <c r="L25" s="69"/>
    </row>
    <row r="26" spans="1:21" x14ac:dyDescent="0.25">
      <c r="A26" s="1" t="s">
        <v>918</v>
      </c>
      <c r="B26" s="50">
        <f>K26*J26</f>
        <v>61827.999999999993</v>
      </c>
      <c r="C26" s="50">
        <f t="shared" si="7"/>
        <v>4729.8419999999996</v>
      </c>
      <c r="D26" s="185">
        <f>B26*$F$5</f>
        <v>12365.599999999999</v>
      </c>
      <c r="E26" s="185" cm="1">
        <f t="array" ref="E26">SUM(($C$4:$C$5)+(B26*$B$6))*J26</f>
        <v>28830.52</v>
      </c>
      <c r="F26" s="50">
        <f t="shared" si="8"/>
        <v>1236.56</v>
      </c>
      <c r="G26" s="50">
        <v>0</v>
      </c>
      <c r="I26" s="228">
        <v>1</v>
      </c>
      <c r="J26" s="49">
        <v>1</v>
      </c>
      <c r="K26" s="49">
        <f>(L26*(1+$G$7))</f>
        <v>61827.999999999993</v>
      </c>
      <c r="L26" s="69">
        <v>60320</v>
      </c>
      <c r="Q26" s="1" t="s">
        <v>424</v>
      </c>
      <c r="R26" s="10">
        <f>_xlfn.XLOOKUP(Q26,$B$23:$G$23,$B$32:$G$32,0)</f>
        <v>869914</v>
      </c>
      <c r="U26" s="1">
        <v>620110.36</v>
      </c>
    </row>
    <row r="27" spans="1:21" x14ac:dyDescent="0.25">
      <c r="A27" s="1" t="s">
        <v>918</v>
      </c>
      <c r="B27" s="50">
        <f t="shared" si="6"/>
        <v>61827.999999999993</v>
      </c>
      <c r="C27" s="50">
        <f t="shared" si="7"/>
        <v>4729.8419999999996</v>
      </c>
      <c r="D27" s="185">
        <f t="shared" ref="D27:D30" si="9">B27*$F$5</f>
        <v>12365.599999999999</v>
      </c>
      <c r="E27" s="185" cm="1">
        <f t="array" ref="E27">SUM(($C$4:$C$5)+(B27*$B$6))*J27</f>
        <v>28830.52</v>
      </c>
      <c r="F27" s="50">
        <f t="shared" si="8"/>
        <v>1236.56</v>
      </c>
      <c r="G27" s="50">
        <v>0</v>
      </c>
      <c r="I27" s="228">
        <v>1</v>
      </c>
      <c r="J27" s="49">
        <v>1</v>
      </c>
      <c r="K27" s="49">
        <f>(L27*(1+$G$7))</f>
        <v>61827.999999999993</v>
      </c>
      <c r="L27" s="69">
        <v>60320</v>
      </c>
      <c r="Q27" s="1" t="s">
        <v>425</v>
      </c>
      <c r="R27" s="10">
        <f>_xlfn.XLOOKUP(Q27,$B$23:$G$23,$B$32:$G$32,0)</f>
        <v>66548.421000000002</v>
      </c>
      <c r="U27" s="1">
        <v>597791.25</v>
      </c>
    </row>
    <row r="28" spans="1:21" x14ac:dyDescent="0.25">
      <c r="A28" s="1" t="s">
        <v>918</v>
      </c>
      <c r="B28" s="50">
        <f t="shared" si="6"/>
        <v>61827.999999999993</v>
      </c>
      <c r="C28" s="50">
        <f t="shared" si="7"/>
        <v>4729.8419999999996</v>
      </c>
      <c r="D28" s="185">
        <f t="shared" si="9"/>
        <v>12365.599999999999</v>
      </c>
      <c r="E28" s="185" cm="1">
        <f t="array" ref="E28">SUM(($C$4:$C$5)+(B28*$B$6))*J28</f>
        <v>28830.52</v>
      </c>
      <c r="F28" s="50">
        <f t="shared" si="8"/>
        <v>1236.56</v>
      </c>
      <c r="G28" s="50">
        <v>0</v>
      </c>
      <c r="I28" s="228">
        <v>1</v>
      </c>
      <c r="J28" s="49">
        <v>1</v>
      </c>
      <c r="K28" s="49">
        <f>(L28*(1+$G$7))</f>
        <v>61827.999999999993</v>
      </c>
      <c r="L28" s="69">
        <v>60320</v>
      </c>
      <c r="M28" s="186"/>
      <c r="N28" s="186"/>
      <c r="O28" s="187"/>
      <c r="P28" s="187"/>
      <c r="Q28" s="1" t="s">
        <v>426</v>
      </c>
      <c r="R28" s="10">
        <f>_xlfn.XLOOKUP(Q28,$B$23:$G$23,$B$32:$G$32,0)</f>
        <v>169982.8</v>
      </c>
      <c r="U28" s="1">
        <v>589905.14</v>
      </c>
    </row>
    <row r="29" spans="1:21" x14ac:dyDescent="0.25">
      <c r="A29" s="78" t="s">
        <v>918</v>
      </c>
      <c r="B29" s="79">
        <f t="shared" si="6"/>
        <v>61827.999999999993</v>
      </c>
      <c r="C29" s="50">
        <f t="shared" si="7"/>
        <v>4729.8419999999996</v>
      </c>
      <c r="D29" s="185">
        <f t="shared" si="9"/>
        <v>12365.599999999999</v>
      </c>
      <c r="E29" s="185" cm="1">
        <f t="array" ref="E29">SUM(($C$4:$C$5)+(B29*$B$6))*J29</f>
        <v>28830.52</v>
      </c>
      <c r="F29" s="50">
        <f t="shared" si="8"/>
        <v>1236.56</v>
      </c>
      <c r="G29" s="79"/>
      <c r="H29" s="78" t="s">
        <v>919</v>
      </c>
      <c r="I29" s="228">
        <v>1</v>
      </c>
      <c r="J29" s="49">
        <v>1</v>
      </c>
      <c r="K29" s="49">
        <f>(L29*(1+$G$7))</f>
        <v>61827.999999999993</v>
      </c>
      <c r="L29" s="69">
        <v>60320</v>
      </c>
      <c r="M29" s="186"/>
      <c r="N29" s="186"/>
      <c r="O29" s="187"/>
      <c r="P29" s="187"/>
      <c r="R29" s="10"/>
    </row>
    <row r="30" spans="1:21" x14ac:dyDescent="0.25">
      <c r="A30" s="1" t="s">
        <v>920</v>
      </c>
      <c r="B30" s="50">
        <f t="shared" si="6"/>
        <v>602602</v>
      </c>
      <c r="C30" s="50">
        <f t="shared" si="7"/>
        <v>46099.053</v>
      </c>
      <c r="D30" s="185">
        <f t="shared" si="9"/>
        <v>120520.40000000001</v>
      </c>
      <c r="E30" s="185"/>
      <c r="F30" s="50">
        <f t="shared" si="8"/>
        <v>12052.04</v>
      </c>
      <c r="G30" s="50">
        <v>0</v>
      </c>
      <c r="I30" s="228">
        <v>1</v>
      </c>
      <c r="J30" s="49">
        <v>15</v>
      </c>
      <c r="K30" s="53">
        <f>602602/15</f>
        <v>40173.466666666667</v>
      </c>
      <c r="L30" s="69"/>
      <c r="Q30" s="1" t="s">
        <v>427</v>
      </c>
      <c r="R30" s="10">
        <f>_xlfn.XLOOKUP(Q30,$B$23:$G$23,$B$32:$G$32,0)</f>
        <v>17398.28</v>
      </c>
    </row>
    <row r="31" spans="1:21" x14ac:dyDescent="0.25">
      <c r="B31" s="10"/>
      <c r="C31" s="10">
        <f t="shared" si="7"/>
        <v>0</v>
      </c>
      <c r="D31" s="10"/>
      <c r="E31" s="10"/>
      <c r="F31" s="10"/>
      <c r="G31" s="10"/>
      <c r="I31" s="10"/>
      <c r="J31" s="10"/>
    </row>
    <row r="32" spans="1:21" ht="15.75" thickBot="1" x14ac:dyDescent="0.3">
      <c r="A32" s="40" t="s">
        <v>921</v>
      </c>
      <c r="B32" s="43">
        <f t="shared" ref="B32:G32" si="10">SUM(B25:B31)</f>
        <v>869914</v>
      </c>
      <c r="C32" s="43">
        <f t="shared" si="10"/>
        <v>66548.421000000002</v>
      </c>
      <c r="D32" s="43">
        <f t="shared" si="10"/>
        <v>169982.8</v>
      </c>
      <c r="E32" s="43">
        <f t="shared" si="10"/>
        <v>115322.08</v>
      </c>
      <c r="F32" s="43">
        <f t="shared" si="10"/>
        <v>17398.28</v>
      </c>
      <c r="G32" s="43">
        <f t="shared" si="10"/>
        <v>0</v>
      </c>
      <c r="H32" s="43">
        <f>SUM(B32:G32)</f>
        <v>1239165.581</v>
      </c>
      <c r="I32" s="10"/>
      <c r="J32" s="10"/>
    </row>
    <row r="33" spans="1:18" ht="15.75" thickTop="1" x14ac:dyDescent="0.25">
      <c r="A33" s="1" t="s">
        <v>915</v>
      </c>
      <c r="B33" s="51">
        <f>_xlfn.XLOOKUP(B23,'Master Budget'!$G$4:$G$360,'Master Budget'!$P$4:$P$360,0)</f>
        <v>869914</v>
      </c>
      <c r="C33" s="51">
        <f>_xlfn.XLOOKUP(C23,'Master Budget'!$G$4:$G$360,'Master Budget'!$P$4:$P$360,0)</f>
        <v>66548.421000000002</v>
      </c>
      <c r="D33" s="51">
        <f>_xlfn.XLOOKUP(D23,'Master Budget'!$G$4:$G$360,'Master Budget'!$P$4:$P$360,0)</f>
        <v>169982.8</v>
      </c>
      <c r="E33" s="51">
        <f>_xlfn.XLOOKUP(E23,'Master Budget'!$G$4:$G$360,'Master Budget'!$P$4:$P$360,0)</f>
        <v>115322.08</v>
      </c>
      <c r="F33" s="51">
        <f>_xlfn.XLOOKUP(F23,'Master Budget'!$G$4:$G$360,'Master Budget'!$P$4:$P$360,0)</f>
        <v>17398.28</v>
      </c>
      <c r="G33" s="51"/>
      <c r="L33" s="10"/>
    </row>
    <row r="34" spans="1:18" x14ac:dyDescent="0.25">
      <c r="B34" s="52">
        <f>B32-B33</f>
        <v>0</v>
      </c>
      <c r="C34" s="52">
        <f>C32-C33</f>
        <v>0</v>
      </c>
      <c r="D34" s="52">
        <f>D32-D33</f>
        <v>0</v>
      </c>
      <c r="E34" s="52">
        <f>E32-E33</f>
        <v>0</v>
      </c>
      <c r="F34" s="52">
        <f>F32-F33</f>
        <v>0</v>
      </c>
      <c r="G34" s="35"/>
    </row>
    <row r="35" spans="1:18" ht="21" customHeight="1" x14ac:dyDescent="0.25">
      <c r="B35" s="10"/>
      <c r="C35" s="10"/>
      <c r="D35" s="10"/>
      <c r="E35" s="10"/>
      <c r="F35" s="10"/>
      <c r="G35" s="10"/>
    </row>
    <row r="36" spans="1:18" x14ac:dyDescent="0.25">
      <c r="A36" s="40" t="s">
        <v>898</v>
      </c>
      <c r="B36" s="41" t="s">
        <v>607</v>
      </c>
      <c r="C36" s="41" t="s">
        <v>608</v>
      </c>
      <c r="D36" s="41" t="s">
        <v>609</v>
      </c>
      <c r="E36" s="41" t="s">
        <v>610</v>
      </c>
      <c r="F36" s="41" t="s">
        <v>611</v>
      </c>
      <c r="G36" s="41" t="s">
        <v>613</v>
      </c>
      <c r="I36" s="47" t="s">
        <v>899</v>
      </c>
      <c r="J36" s="47" t="s">
        <v>899</v>
      </c>
      <c r="K36" s="47" t="s">
        <v>899</v>
      </c>
      <c r="L36" s="47" t="s">
        <v>899</v>
      </c>
    </row>
    <row r="37" spans="1:18" x14ac:dyDescent="0.25">
      <c r="A37" s="7" t="s">
        <v>922</v>
      </c>
      <c r="B37" s="5" t="s">
        <v>900</v>
      </c>
      <c r="C37" s="5" t="s">
        <v>901</v>
      </c>
      <c r="D37" s="5" t="s">
        <v>106</v>
      </c>
      <c r="E37" s="5" t="s">
        <v>902</v>
      </c>
      <c r="F37" s="5" t="s">
        <v>903</v>
      </c>
      <c r="G37" s="5" t="s">
        <v>114</v>
      </c>
      <c r="H37" s="5" t="s">
        <v>904</v>
      </c>
      <c r="I37" s="5" t="s">
        <v>1217</v>
      </c>
      <c r="J37" s="5" t="s">
        <v>905</v>
      </c>
      <c r="K37" s="6" t="s">
        <v>906</v>
      </c>
      <c r="L37" s="5" t="s">
        <v>1216</v>
      </c>
    </row>
    <row r="38" spans="1:18" x14ac:dyDescent="0.25">
      <c r="A38" s="1" t="s">
        <v>923</v>
      </c>
      <c r="B38" s="50">
        <f>K38*J38*I38</f>
        <v>71850.105599999981</v>
      </c>
      <c r="C38" s="50">
        <f t="shared" ref="C38:C47" si="11">B38*$F$6</f>
        <v>5496.533078399998</v>
      </c>
      <c r="D38" s="50">
        <f>(B38*$F$5)</f>
        <v>14370.021119999998</v>
      </c>
      <c r="E38" s="50" cm="1">
        <f t="array" ref="E38">SUM(($C$4:$C$5)+(B38*$B$6))*J38</f>
        <v>28930.741055999999</v>
      </c>
      <c r="F38" s="50">
        <f t="shared" ref="F38:F45" si="12">B38*$F$4</f>
        <v>1437.0021119999997</v>
      </c>
      <c r="G38" s="50">
        <f>$C$7/2</f>
        <v>19.200000000000003</v>
      </c>
      <c r="I38" s="49">
        <v>0.48</v>
      </c>
      <c r="J38" s="49">
        <v>1</v>
      </c>
      <c r="K38" s="49">
        <f t="shared" ref="K38" si="13">(L38*(1+$G$7))</f>
        <v>149687.71999999997</v>
      </c>
      <c r="L38" s="69">
        <v>146036.79999999999</v>
      </c>
    </row>
    <row r="39" spans="1:18" x14ac:dyDescent="0.25">
      <c r="A39" s="1" t="s">
        <v>924</v>
      </c>
      <c r="B39" s="50">
        <f>K39*I39</f>
        <v>19774.559999999998</v>
      </c>
      <c r="C39" s="50">
        <f t="shared" si="11"/>
        <v>1512.7538399999999</v>
      </c>
      <c r="D39" s="50"/>
      <c r="E39" s="50"/>
      <c r="F39" s="50">
        <f t="shared" si="12"/>
        <v>395.49119999999994</v>
      </c>
      <c r="G39" s="50"/>
      <c r="H39" s="1" t="s">
        <v>1213</v>
      </c>
      <c r="I39" s="49">
        <v>0.48</v>
      </c>
      <c r="J39" s="49">
        <v>1</v>
      </c>
      <c r="K39" s="49">
        <f>31.69*1300</f>
        <v>41197</v>
      </c>
      <c r="L39" s="69"/>
      <c r="Q39" s="1" t="s">
        <v>607</v>
      </c>
      <c r="R39" s="10">
        <f t="shared" ref="R39:R44" si="14">_xlfn.XLOOKUP(Q39,$B$36:$G$36,$B$48:$G$48,0)</f>
        <v>210153.56189999994</v>
      </c>
    </row>
    <row r="40" spans="1:18" x14ac:dyDescent="0.25">
      <c r="A40" s="1" t="s">
        <v>926</v>
      </c>
      <c r="B40" s="50">
        <f>K40*I40</f>
        <v>8443.4688000000006</v>
      </c>
      <c r="C40" s="50">
        <f t="shared" si="11"/>
        <v>645.92536319999999</v>
      </c>
      <c r="D40" s="50"/>
      <c r="E40" s="50"/>
      <c r="F40" s="50">
        <f t="shared" si="12"/>
        <v>168.86937600000002</v>
      </c>
      <c r="G40" s="50"/>
      <c r="H40" s="1" t="s">
        <v>1214</v>
      </c>
      <c r="I40" s="49">
        <v>0.48</v>
      </c>
      <c r="J40" s="49">
        <v>1</v>
      </c>
      <c r="K40" s="49">
        <f>28.19*624</f>
        <v>17590.560000000001</v>
      </c>
      <c r="L40" s="69"/>
      <c r="M40" s="1">
        <v>2.5000000000000001E-2</v>
      </c>
      <c r="N40" s="1">
        <v>2.5000000000000001E-2</v>
      </c>
      <c r="Q40" s="1" t="s">
        <v>608</v>
      </c>
      <c r="R40" s="10">
        <f t="shared" si="14"/>
        <v>16076.747485349995</v>
      </c>
    </row>
    <row r="41" spans="1:18" x14ac:dyDescent="0.25">
      <c r="A41" s="1" t="str">
        <f>"Staff (FT-"&amp;J41&amp;")"</f>
        <v>Staff (FT-1.5)</v>
      </c>
      <c r="B41" s="50">
        <f>K41*J41*I41</f>
        <v>45182.592000000004</v>
      </c>
      <c r="C41" s="50">
        <f t="shared" si="11"/>
        <v>3456.468288</v>
      </c>
      <c r="D41" s="50">
        <f>(B41*$F$5)</f>
        <v>9036.5184000000008</v>
      </c>
      <c r="E41" s="50" cm="1">
        <f t="array" ref="E41">SUM(($C$4:$C$5)+(B41*$B$6))</f>
        <v>28664.065920000001</v>
      </c>
      <c r="F41" s="50">
        <f t="shared" si="12"/>
        <v>903.65184000000011</v>
      </c>
      <c r="G41" s="50">
        <f>$C$7</f>
        <v>38.400000000000006</v>
      </c>
      <c r="I41" s="49">
        <v>0.48</v>
      </c>
      <c r="J41" s="49">
        <f>3/2</f>
        <v>1.5</v>
      </c>
      <c r="K41" s="49">
        <f>30.17*2080</f>
        <v>62753.600000000006</v>
      </c>
      <c r="L41" s="69"/>
      <c r="Q41" s="1" t="s">
        <v>609</v>
      </c>
      <c r="R41" s="10">
        <f t="shared" si="14"/>
        <v>30695.847519999999</v>
      </c>
    </row>
    <row r="42" spans="1:18" x14ac:dyDescent="0.25">
      <c r="A42" s="78" t="str">
        <f>"Staff (PT-"&amp;J42&amp;")"</f>
        <v>Staff (PT-1)</v>
      </c>
      <c r="B42" s="50">
        <f>K42*J42*I42</f>
        <v>10727.807999999999</v>
      </c>
      <c r="C42" s="79">
        <f t="shared" si="11"/>
        <v>820.67731199999992</v>
      </c>
      <c r="D42" s="79"/>
      <c r="E42" s="79">
        <v>0</v>
      </c>
      <c r="F42" s="79">
        <f t="shared" si="12"/>
        <v>214.55615999999998</v>
      </c>
      <c r="G42" s="79"/>
      <c r="H42" s="78" t="s">
        <v>1215</v>
      </c>
      <c r="I42" s="49">
        <v>0.48</v>
      </c>
      <c r="J42" s="49">
        <v>1</v>
      </c>
      <c r="K42" s="49">
        <f>21.49*1040</f>
        <v>22349.599999999999</v>
      </c>
      <c r="L42" s="69"/>
      <c r="M42" s="100">
        <f>K39*M40</f>
        <v>1029.925</v>
      </c>
      <c r="N42" s="54">
        <f>(K39+M42)*N40</f>
        <v>1055.673125</v>
      </c>
      <c r="Q42" s="1" t="s">
        <v>610</v>
      </c>
      <c r="R42" s="10">
        <f t="shared" si="14"/>
        <v>114383.75237599999</v>
      </c>
    </row>
    <row r="43" spans="1:18" x14ac:dyDescent="0.25">
      <c r="A43" s="1" t="s">
        <v>911</v>
      </c>
      <c r="B43" s="50">
        <f>K43*J43*I43</f>
        <v>20600.449999999997</v>
      </c>
      <c r="C43" s="50">
        <f t="shared" si="11"/>
        <v>1575.9344249999997</v>
      </c>
      <c r="D43" s="50">
        <f>(B43*$F$5)</f>
        <v>4120.0899999999992</v>
      </c>
      <c r="E43" s="50" cm="1">
        <f t="array" ref="E43">SUM(($C$4:$C$5)+(B43*$B$6))*J43</f>
        <v>28418.244500000001</v>
      </c>
      <c r="F43" s="50">
        <f t="shared" si="12"/>
        <v>412.00899999999996</v>
      </c>
      <c r="G43" s="50">
        <f>$C$7*J43</f>
        <v>38.400000000000006</v>
      </c>
      <c r="I43" s="49">
        <v>0.25</v>
      </c>
      <c r="J43" s="49">
        <v>1</v>
      </c>
      <c r="K43" s="49">
        <f>(L43*(1+$G$7))</f>
        <v>82401.799999999988</v>
      </c>
      <c r="L43" s="69">
        <v>80392</v>
      </c>
      <c r="M43" s="54">
        <f>K40*M40</f>
        <v>439.76400000000007</v>
      </c>
      <c r="N43" s="54">
        <f>(M43+K40)*N40</f>
        <v>450.75810000000001</v>
      </c>
      <c r="Q43" s="1" t="s">
        <v>611</v>
      </c>
      <c r="R43" s="10">
        <f t="shared" si="14"/>
        <v>4006.0952379999999</v>
      </c>
    </row>
    <row r="44" spans="1:18" x14ac:dyDescent="0.25">
      <c r="A44" s="78" t="s">
        <v>912</v>
      </c>
      <c r="B44" s="50">
        <f>K44*J44*I44</f>
        <v>15846.089999999998</v>
      </c>
      <c r="C44" s="79">
        <f t="shared" si="11"/>
        <v>1212.2258849999998</v>
      </c>
      <c r="D44" s="79">
        <f>(B44*$F$5)</f>
        <v>3169.2179999999998</v>
      </c>
      <c r="E44" s="79" cm="1">
        <f t="array" ref="E44">SUM(($C$4:$C$5)+(B44*$B$6))*J44</f>
        <v>28370.7009</v>
      </c>
      <c r="F44" s="79">
        <f t="shared" si="12"/>
        <v>316.92179999999996</v>
      </c>
      <c r="G44" s="79">
        <f>$C$7*J44</f>
        <v>38.400000000000006</v>
      </c>
      <c r="H44" s="78"/>
      <c r="I44" s="49">
        <v>0.25</v>
      </c>
      <c r="J44" s="49">
        <v>1</v>
      </c>
      <c r="K44" s="49">
        <f>(L44*(1+$G$7))</f>
        <v>63384.359999999993</v>
      </c>
      <c r="L44" s="69">
        <v>61838.400000000001</v>
      </c>
      <c r="M44" s="54">
        <f>K41*M40*2</f>
        <v>3137.6800000000003</v>
      </c>
      <c r="N44" s="54">
        <f>(M44+K41)*N40*2</f>
        <v>3294.5640000000003</v>
      </c>
      <c r="Q44" s="1" t="s">
        <v>613</v>
      </c>
      <c r="R44" s="10">
        <f t="shared" si="14"/>
        <v>172.80000000000004</v>
      </c>
    </row>
    <row r="45" spans="1:18" x14ac:dyDescent="0.25">
      <c r="A45" s="1" t="s">
        <v>913</v>
      </c>
      <c r="B45" s="50">
        <f>K45*J45*I45</f>
        <v>7879.6874999999991</v>
      </c>
      <c r="C45" s="50">
        <f t="shared" si="11"/>
        <v>602.79609374999995</v>
      </c>
      <c r="D45" s="50">
        <v>0</v>
      </c>
      <c r="E45" s="50">
        <v>0</v>
      </c>
      <c r="F45" s="50">
        <f t="shared" si="12"/>
        <v>157.59374999999997</v>
      </c>
      <c r="G45" s="50">
        <f>$C$7</f>
        <v>38.400000000000006</v>
      </c>
      <c r="I45" s="49">
        <v>0.25</v>
      </c>
      <c r="J45" s="49">
        <v>1</v>
      </c>
      <c r="K45" s="49">
        <f>(L45*(1+$G$7))</f>
        <v>31518.749999999996</v>
      </c>
      <c r="L45" s="69">
        <v>30750</v>
      </c>
      <c r="M45" s="54">
        <f>K42*M40*3</f>
        <v>1676.22</v>
      </c>
      <c r="N45" s="54">
        <f>(M45+K42)*N40*3</f>
        <v>1801.9364999999998</v>
      </c>
    </row>
    <row r="46" spans="1:18" x14ac:dyDescent="0.25">
      <c r="A46" s="1" t="s">
        <v>930</v>
      </c>
      <c r="B46" s="50">
        <f>(2080*(K46+K47))*I46</f>
        <v>9848.7999999999993</v>
      </c>
      <c r="C46" s="50">
        <f t="shared" si="11"/>
        <v>753.43319999999994</v>
      </c>
      <c r="D46" s="50"/>
      <c r="E46" s="50"/>
      <c r="F46" s="50"/>
      <c r="G46" s="50"/>
      <c r="I46" s="49">
        <v>0.5</v>
      </c>
      <c r="J46" s="49">
        <v>0.5</v>
      </c>
      <c r="K46" s="55">
        <v>4.62</v>
      </c>
      <c r="L46" s="69"/>
    </row>
    <row r="47" spans="1:18" x14ac:dyDescent="0.25">
      <c r="B47" s="10"/>
      <c r="C47" s="10">
        <f t="shared" si="11"/>
        <v>0</v>
      </c>
      <c r="D47" s="10"/>
      <c r="E47" s="10"/>
      <c r="F47" s="10"/>
      <c r="G47" s="10"/>
      <c r="I47" s="49"/>
      <c r="J47" s="49"/>
      <c r="K47" s="55">
        <v>4.8499999999999996</v>
      </c>
      <c r="L47" s="69"/>
    </row>
    <row r="48" spans="1:18" ht="15.75" thickBot="1" x14ac:dyDescent="0.3">
      <c r="A48" s="40" t="s">
        <v>931</v>
      </c>
      <c r="B48" s="43">
        <f t="shared" ref="B48:G48" si="15">SUM(B38:B47)</f>
        <v>210153.56189999994</v>
      </c>
      <c r="C48" s="43">
        <f t="shared" si="15"/>
        <v>16076.747485349995</v>
      </c>
      <c r="D48" s="43">
        <f t="shared" si="15"/>
        <v>30695.847519999999</v>
      </c>
      <c r="E48" s="43">
        <f t="shared" si="15"/>
        <v>114383.75237599999</v>
      </c>
      <c r="F48" s="43">
        <f t="shared" si="15"/>
        <v>4006.0952379999999</v>
      </c>
      <c r="G48" s="43">
        <f t="shared" si="15"/>
        <v>172.80000000000004</v>
      </c>
      <c r="H48" s="43">
        <f>SUM(B48:G48)</f>
        <v>375488.80451934994</v>
      </c>
    </row>
    <row r="49" spans="1:18" ht="15.75" thickTop="1" x14ac:dyDescent="0.25">
      <c r="A49" s="1" t="s">
        <v>915</v>
      </c>
      <c r="B49" s="51">
        <f>_xlfn.XLOOKUP(B36,'Master Budget'!$G$4:$G$360,'Master Budget'!$P$4:$P$360,0)</f>
        <v>210153.56189999994</v>
      </c>
      <c r="C49" s="51">
        <f>_xlfn.XLOOKUP(C36,'Master Budget'!$G$4:$G$360,'Master Budget'!$P$4:$P$360,0)</f>
        <v>16076.747485349995</v>
      </c>
      <c r="D49" s="51">
        <f>_xlfn.XLOOKUP(D36,'Master Budget'!$G$4:$G$360,'Master Budget'!$P$4:$P$360,0)</f>
        <v>30695.847519999999</v>
      </c>
      <c r="E49" s="51">
        <f>_xlfn.XLOOKUP(E36,'Master Budget'!$G$4:$G$360,'Master Budget'!$P$4:$P$360,0)</f>
        <v>114383.75237599999</v>
      </c>
      <c r="F49" s="51">
        <f>_xlfn.XLOOKUP(F36,'Master Budget'!$G$4:$G$360,'Master Budget'!$P$4:$P$360,0)</f>
        <v>4006.0952379999999</v>
      </c>
      <c r="G49" s="51">
        <f>_xlfn.XLOOKUP(G36,'Master Budget'!$G$4:$G$360,'Master Budget'!$P$4:$P$360,0)</f>
        <v>172.80000000000004</v>
      </c>
    </row>
    <row r="50" spans="1:18" x14ac:dyDescent="0.25">
      <c r="B50" s="52">
        <f t="shared" ref="B50:G50" si="16">B48-B49</f>
        <v>0</v>
      </c>
      <c r="C50" s="52">
        <f t="shared" si="16"/>
        <v>0</v>
      </c>
      <c r="D50" s="52">
        <f t="shared" si="16"/>
        <v>0</v>
      </c>
      <c r="E50" s="52">
        <f t="shared" si="16"/>
        <v>0</v>
      </c>
      <c r="F50" s="52">
        <f t="shared" si="16"/>
        <v>0</v>
      </c>
      <c r="G50" s="52">
        <f t="shared" si="16"/>
        <v>0</v>
      </c>
    </row>
    <row r="51" spans="1:18" ht="21" customHeight="1" x14ac:dyDescent="0.25">
      <c r="B51" s="10"/>
      <c r="C51" s="10"/>
      <c r="D51" s="10"/>
      <c r="E51" s="10"/>
      <c r="F51" s="10"/>
      <c r="G51" s="10"/>
    </row>
    <row r="52" spans="1:18" x14ac:dyDescent="0.25">
      <c r="A52" s="40" t="s">
        <v>898</v>
      </c>
      <c r="B52" s="41" t="s">
        <v>733</v>
      </c>
      <c r="C52" s="41" t="s">
        <v>735</v>
      </c>
      <c r="D52" s="41" t="s">
        <v>736</v>
      </c>
      <c r="E52" s="41" t="s">
        <v>737</v>
      </c>
      <c r="F52" s="41" t="s">
        <v>738</v>
      </c>
      <c r="G52" s="41" t="s">
        <v>740</v>
      </c>
      <c r="I52" s="47" t="s">
        <v>899</v>
      </c>
      <c r="J52" s="47" t="s">
        <v>899</v>
      </c>
      <c r="K52" s="47" t="s">
        <v>899</v>
      </c>
      <c r="L52" s="47" t="s">
        <v>899</v>
      </c>
    </row>
    <row r="53" spans="1:18" x14ac:dyDescent="0.25">
      <c r="A53" s="7" t="s">
        <v>932</v>
      </c>
      <c r="B53" s="5" t="s">
        <v>900</v>
      </c>
      <c r="C53" s="5" t="s">
        <v>901</v>
      </c>
      <c r="D53" s="5" t="s">
        <v>106</v>
      </c>
      <c r="E53" s="5" t="s">
        <v>902</v>
      </c>
      <c r="F53" s="5" t="s">
        <v>903</v>
      </c>
      <c r="G53" s="5" t="s">
        <v>114</v>
      </c>
      <c r="H53" s="5" t="s">
        <v>904</v>
      </c>
      <c r="I53" s="5" t="s">
        <v>1217</v>
      </c>
      <c r="J53" s="5" t="s">
        <v>905</v>
      </c>
      <c r="K53" s="6" t="s">
        <v>906</v>
      </c>
      <c r="L53" s="5" t="s">
        <v>1216</v>
      </c>
    </row>
    <row r="54" spans="1:18" x14ac:dyDescent="0.25">
      <c r="A54" s="1" t="s">
        <v>923</v>
      </c>
      <c r="B54" s="50">
        <f>K54*J54*I54</f>
        <v>71850.105599999981</v>
      </c>
      <c r="C54" s="50">
        <f t="shared" ref="C54:C63" si="17">B54*$F$6</f>
        <v>5496.533078399998</v>
      </c>
      <c r="D54" s="50">
        <f>(B54*$F$5)</f>
        <v>14370.021119999998</v>
      </c>
      <c r="E54" s="50" cm="1">
        <f t="array" ref="E54">SUM(($C$4:$C$5)+(B54*$B$6))*J54</f>
        <v>28930.741055999999</v>
      </c>
      <c r="F54" s="50">
        <f t="shared" ref="F54:F61" si="18">B54*$F$4</f>
        <v>1437.0021119999997</v>
      </c>
      <c r="G54" s="50">
        <f>$C$7/2</f>
        <v>19.200000000000003</v>
      </c>
      <c r="I54" s="49">
        <v>0.48</v>
      </c>
      <c r="J54" s="49">
        <v>1</v>
      </c>
      <c r="K54" s="49">
        <f t="shared" ref="K54" si="19">(L54*(1+$G$7))</f>
        <v>149687.71999999997</v>
      </c>
      <c r="L54" s="69">
        <v>146036.79999999999</v>
      </c>
    </row>
    <row r="55" spans="1:18" x14ac:dyDescent="0.25">
      <c r="A55" s="1" t="s">
        <v>924</v>
      </c>
      <c r="B55" s="50">
        <f>K55*I55</f>
        <v>19774.559999999998</v>
      </c>
      <c r="C55" s="50">
        <f t="shared" si="17"/>
        <v>1512.7538399999999</v>
      </c>
      <c r="D55" s="50"/>
      <c r="E55" s="50"/>
      <c r="F55" s="50">
        <f t="shared" si="18"/>
        <v>395.49119999999994</v>
      </c>
      <c r="G55" s="50"/>
      <c r="H55" s="1" t="s">
        <v>1213</v>
      </c>
      <c r="I55" s="49">
        <v>0.48</v>
      </c>
      <c r="J55" s="49">
        <v>1</v>
      </c>
      <c r="K55" s="49">
        <f>31.69*1300</f>
        <v>41197</v>
      </c>
      <c r="L55" s="69"/>
      <c r="Q55" s="1" t="s">
        <v>733</v>
      </c>
      <c r="R55" s="10">
        <f t="shared" ref="R55:R60" si="20">_xlfn.XLOOKUP(Q55,$B$52:$G$52,$B$64:$G$64,0)</f>
        <v>210153.56189999994</v>
      </c>
    </row>
    <row r="56" spans="1:18" x14ac:dyDescent="0.25">
      <c r="A56" s="1" t="s">
        <v>926</v>
      </c>
      <c r="B56" s="50">
        <f>K56*I56</f>
        <v>8443.4688000000006</v>
      </c>
      <c r="C56" s="50">
        <f t="shared" si="17"/>
        <v>645.92536319999999</v>
      </c>
      <c r="D56" s="50"/>
      <c r="E56" s="50"/>
      <c r="F56" s="50">
        <f t="shared" si="18"/>
        <v>168.86937600000002</v>
      </c>
      <c r="G56" s="50"/>
      <c r="H56" s="1" t="s">
        <v>1214</v>
      </c>
      <c r="I56" s="49">
        <v>0.48</v>
      </c>
      <c r="J56" s="49">
        <v>1</v>
      </c>
      <c r="K56" s="49">
        <f>28.19*624</f>
        <v>17590.560000000001</v>
      </c>
      <c r="L56" s="69"/>
      <c r="M56" s="1">
        <v>2.5000000000000001E-2</v>
      </c>
      <c r="N56" s="1">
        <v>2.5000000000000001E-2</v>
      </c>
      <c r="Q56" s="1" t="s">
        <v>735</v>
      </c>
      <c r="R56" s="10">
        <f t="shared" si="20"/>
        <v>16076.747485349995</v>
      </c>
    </row>
    <row r="57" spans="1:18" x14ac:dyDescent="0.25">
      <c r="A57" s="1" t="str">
        <f>"Staff (FT-"&amp;J57&amp;")"</f>
        <v>Staff (FT-1.5)</v>
      </c>
      <c r="B57" s="50">
        <f>K57*J57*I57</f>
        <v>45182.592000000004</v>
      </c>
      <c r="C57" s="50">
        <f t="shared" si="17"/>
        <v>3456.468288</v>
      </c>
      <c r="D57" s="50">
        <f>(B57*$F$5)</f>
        <v>9036.5184000000008</v>
      </c>
      <c r="E57" s="50" cm="1">
        <f t="array" ref="E57">SUM(($C$4:$C$5)+(B57*$B$6))</f>
        <v>28664.065920000001</v>
      </c>
      <c r="F57" s="50">
        <f t="shared" si="18"/>
        <v>903.65184000000011</v>
      </c>
      <c r="G57" s="50">
        <f>$C$7</f>
        <v>38.400000000000006</v>
      </c>
      <c r="I57" s="49">
        <v>0.48</v>
      </c>
      <c r="J57" s="49">
        <v>1.5</v>
      </c>
      <c r="K57" s="49">
        <f>30.17*2080</f>
        <v>62753.600000000006</v>
      </c>
      <c r="L57" s="69"/>
      <c r="Q57" s="1" t="s">
        <v>736</v>
      </c>
      <c r="R57" s="10">
        <f t="shared" si="20"/>
        <v>30695.847519999999</v>
      </c>
    </row>
    <row r="58" spans="1:18" x14ac:dyDescent="0.25">
      <c r="A58" s="78" t="str">
        <f>"Staff (PT-"&amp;J58&amp;")"</f>
        <v>Staff (PT-1)</v>
      </c>
      <c r="B58" s="50">
        <f>K58*J58*I58</f>
        <v>10727.807999999999</v>
      </c>
      <c r="C58" s="79">
        <f t="shared" si="17"/>
        <v>820.67731199999992</v>
      </c>
      <c r="D58" s="79"/>
      <c r="E58" s="79"/>
      <c r="F58" s="79">
        <f t="shared" si="18"/>
        <v>214.55615999999998</v>
      </c>
      <c r="G58" s="79"/>
      <c r="H58" s="78" t="s">
        <v>1215</v>
      </c>
      <c r="I58" s="49">
        <v>0.48</v>
      </c>
      <c r="J58" s="49">
        <v>1</v>
      </c>
      <c r="K58" s="49">
        <f>21.49*1040</f>
        <v>22349.599999999999</v>
      </c>
      <c r="L58" s="69"/>
      <c r="M58" s="100">
        <f>K55*M56</f>
        <v>1029.925</v>
      </c>
      <c r="N58" s="54">
        <f>(K55+M58)*N56</f>
        <v>1055.673125</v>
      </c>
      <c r="Q58" s="1" t="s">
        <v>737</v>
      </c>
      <c r="R58" s="10">
        <f t="shared" si="20"/>
        <v>114383.75237599999</v>
      </c>
    </row>
    <row r="59" spans="1:18" x14ac:dyDescent="0.25">
      <c r="A59" s="1" t="s">
        <v>911</v>
      </c>
      <c r="B59" s="50">
        <f>K59*J59*I59</f>
        <v>20600.449999999997</v>
      </c>
      <c r="C59" s="50">
        <f t="shared" si="17"/>
        <v>1575.9344249999997</v>
      </c>
      <c r="D59" s="50">
        <f>(B59*$F$5)</f>
        <v>4120.0899999999992</v>
      </c>
      <c r="E59" s="50" cm="1">
        <f t="array" ref="E59">SUM(($C$4:$C$5)+(B59*$B$6))*J59</f>
        <v>28418.244500000001</v>
      </c>
      <c r="F59" s="50">
        <f t="shared" si="18"/>
        <v>412.00899999999996</v>
      </c>
      <c r="G59" s="50">
        <f>$C$7*J59</f>
        <v>38.400000000000006</v>
      </c>
      <c r="I59" s="49">
        <v>0.25</v>
      </c>
      <c r="J59" s="49">
        <v>1</v>
      </c>
      <c r="K59" s="49">
        <f t="shared" ref="K59:K61" si="21">(L59*(1+$G$7))</f>
        <v>82401.799999999988</v>
      </c>
      <c r="L59" s="69">
        <v>80392</v>
      </c>
      <c r="M59" s="54">
        <f>K56*M56</f>
        <v>439.76400000000007</v>
      </c>
      <c r="N59" s="54">
        <f>(M59+K56)*N56</f>
        <v>450.75810000000001</v>
      </c>
      <c r="Q59" s="1" t="s">
        <v>738</v>
      </c>
      <c r="R59" s="10">
        <f t="shared" si="20"/>
        <v>4006.0952379999999</v>
      </c>
    </row>
    <row r="60" spans="1:18" x14ac:dyDescent="0.25">
      <c r="A60" s="78" t="s">
        <v>912</v>
      </c>
      <c r="B60" s="50">
        <f>K60*J60*I60</f>
        <v>15846.089999999998</v>
      </c>
      <c r="C60" s="79">
        <f t="shared" si="17"/>
        <v>1212.2258849999998</v>
      </c>
      <c r="D60" s="79">
        <f>(B60*$F$5)</f>
        <v>3169.2179999999998</v>
      </c>
      <c r="E60" s="79" cm="1">
        <f t="array" ref="E60">SUM(($C$4:$C$5)+(B60*$B$6))*J60</f>
        <v>28370.7009</v>
      </c>
      <c r="F60" s="79">
        <f t="shared" si="18"/>
        <v>316.92179999999996</v>
      </c>
      <c r="G60" s="79">
        <f>$C$7*J60</f>
        <v>38.400000000000006</v>
      </c>
      <c r="H60" s="78"/>
      <c r="I60" s="49">
        <v>0.25</v>
      </c>
      <c r="J60" s="49">
        <v>1</v>
      </c>
      <c r="K60" s="49">
        <f t="shared" si="21"/>
        <v>63384.359999999993</v>
      </c>
      <c r="L60" s="69">
        <v>61838.400000000001</v>
      </c>
      <c r="M60" s="54">
        <f>K57*M56*2</f>
        <v>3137.6800000000003</v>
      </c>
      <c r="N60" s="54">
        <f>(M60+K57)*N56*2</f>
        <v>3294.5640000000003</v>
      </c>
      <c r="Q60" s="1" t="s">
        <v>740</v>
      </c>
      <c r="R60" s="10">
        <f t="shared" si="20"/>
        <v>134.40000000000003</v>
      </c>
    </row>
    <row r="61" spans="1:18" x14ac:dyDescent="0.25">
      <c r="A61" s="1" t="s">
        <v>913</v>
      </c>
      <c r="B61" s="50">
        <f>K61*J61*I61</f>
        <v>7879.6874999999991</v>
      </c>
      <c r="C61" s="50">
        <f t="shared" si="17"/>
        <v>602.79609374999995</v>
      </c>
      <c r="D61" s="50"/>
      <c r="E61" s="50"/>
      <c r="F61" s="50">
        <f t="shared" si="18"/>
        <v>157.59374999999997</v>
      </c>
      <c r="G61" s="50"/>
      <c r="I61" s="49">
        <v>0.25</v>
      </c>
      <c r="J61" s="49">
        <v>1</v>
      </c>
      <c r="K61" s="49">
        <f t="shared" si="21"/>
        <v>31518.749999999996</v>
      </c>
      <c r="L61" s="69">
        <v>30750</v>
      </c>
      <c r="M61" s="54">
        <f>K58*M56*3</f>
        <v>1676.22</v>
      </c>
      <c r="N61" s="54">
        <f>(M61+K58)*N56*3</f>
        <v>1801.9364999999998</v>
      </c>
    </row>
    <row r="62" spans="1:18" x14ac:dyDescent="0.25">
      <c r="A62" s="1" t="s">
        <v>930</v>
      </c>
      <c r="B62" s="50">
        <f>(2080*(K62+K63))*I62</f>
        <v>9848.7999999999993</v>
      </c>
      <c r="C62" s="50">
        <f t="shared" si="17"/>
        <v>753.43319999999994</v>
      </c>
      <c r="D62" s="50"/>
      <c r="E62" s="50"/>
      <c r="F62" s="50"/>
      <c r="G62" s="50"/>
      <c r="I62" s="49">
        <v>0.5</v>
      </c>
      <c r="J62" s="49"/>
      <c r="K62" s="55">
        <v>4.62</v>
      </c>
      <c r="L62" s="69"/>
    </row>
    <row r="63" spans="1:18" x14ac:dyDescent="0.25">
      <c r="B63" s="50"/>
      <c r="C63" s="50">
        <f t="shared" si="17"/>
        <v>0</v>
      </c>
      <c r="D63" s="50"/>
      <c r="E63" s="50"/>
      <c r="F63" s="50"/>
      <c r="G63" s="50"/>
      <c r="I63" s="49"/>
      <c r="J63" s="49"/>
      <c r="K63" s="55">
        <v>4.8499999999999996</v>
      </c>
      <c r="L63" s="69"/>
    </row>
    <row r="64" spans="1:18" ht="15.75" thickBot="1" x14ac:dyDescent="0.3">
      <c r="A64" s="40" t="s">
        <v>934</v>
      </c>
      <c r="B64" s="43">
        <f t="shared" ref="B64:G64" si="22">SUM(B54:B63)</f>
        <v>210153.56189999994</v>
      </c>
      <c r="C64" s="43">
        <f t="shared" si="22"/>
        <v>16076.747485349995</v>
      </c>
      <c r="D64" s="43">
        <f t="shared" si="22"/>
        <v>30695.847519999999</v>
      </c>
      <c r="E64" s="43">
        <f t="shared" si="22"/>
        <v>114383.75237599999</v>
      </c>
      <c r="F64" s="43">
        <f t="shared" si="22"/>
        <v>4006.0952379999999</v>
      </c>
      <c r="G64" s="43">
        <f t="shared" si="22"/>
        <v>134.40000000000003</v>
      </c>
      <c r="H64" s="43">
        <f>SUM(B64:G64)</f>
        <v>375450.40451934998</v>
      </c>
      <c r="K64" s="55"/>
    </row>
    <row r="65" spans="1:18" ht="15.75" thickTop="1" x14ac:dyDescent="0.25">
      <c r="A65" s="1" t="s">
        <v>915</v>
      </c>
      <c r="B65" s="51">
        <f>_xlfn.XLOOKUP(B52,'Master Budget'!$G$4:$G$360,'Master Budget'!$P$4:$P$360,0)</f>
        <v>210153.56189999994</v>
      </c>
      <c r="C65" s="51">
        <f>_xlfn.XLOOKUP(C52,'Master Budget'!$G$4:$G$360,'Master Budget'!$P$4:$P$360,0)</f>
        <v>16076.747485349995</v>
      </c>
      <c r="D65" s="51">
        <f>_xlfn.XLOOKUP(D52,'Master Budget'!$G$4:$G$360,'Master Budget'!$P$4:$P$360,0)</f>
        <v>30695.847519999999</v>
      </c>
      <c r="E65" s="51">
        <f>_xlfn.XLOOKUP(E52,'Master Budget'!$G$4:$G$360,'Master Budget'!$P$4:$P$360,0)</f>
        <v>114383.75237599999</v>
      </c>
      <c r="F65" s="51">
        <f>_xlfn.XLOOKUP(F52,'Master Budget'!$G$4:$G$360,'Master Budget'!$P$4:$P$360,0)</f>
        <v>4006.0952379999999</v>
      </c>
      <c r="G65" s="51">
        <f>_xlfn.XLOOKUP(G52,'Master Budget'!$G$4:$G$360,'Master Budget'!$P$4:$P$360,0)</f>
        <v>134.40000000000003</v>
      </c>
    </row>
    <row r="66" spans="1:18" x14ac:dyDescent="0.25">
      <c r="B66" s="52">
        <f t="shared" ref="B66:G66" si="23">B64-B65</f>
        <v>0</v>
      </c>
      <c r="C66" s="52">
        <f t="shared" si="23"/>
        <v>0</v>
      </c>
      <c r="D66" s="52">
        <f t="shared" si="23"/>
        <v>0</v>
      </c>
      <c r="E66" s="52">
        <f t="shared" si="23"/>
        <v>0</v>
      </c>
      <c r="F66" s="52">
        <f t="shared" si="23"/>
        <v>0</v>
      </c>
      <c r="G66" s="52">
        <f t="shared" si="23"/>
        <v>0</v>
      </c>
    </row>
    <row r="67" spans="1:18" ht="21" customHeight="1" x14ac:dyDescent="0.25">
      <c r="B67" s="10"/>
      <c r="C67" s="10"/>
      <c r="D67" s="10"/>
      <c r="E67" s="10"/>
      <c r="F67" s="10"/>
      <c r="G67" s="10"/>
    </row>
    <row r="68" spans="1:18" x14ac:dyDescent="0.25">
      <c r="A68" s="40" t="s">
        <v>898</v>
      </c>
      <c r="B68" s="41" t="s">
        <v>862</v>
      </c>
      <c r="C68" s="41" t="s">
        <v>863</v>
      </c>
      <c r="D68" s="41" t="s">
        <v>864</v>
      </c>
      <c r="E68" s="41" t="s">
        <v>865</v>
      </c>
      <c r="F68" s="41" t="s">
        <v>866</v>
      </c>
      <c r="G68" s="41" t="s">
        <v>868</v>
      </c>
      <c r="I68" s="47" t="s">
        <v>899</v>
      </c>
      <c r="J68" s="47" t="s">
        <v>899</v>
      </c>
      <c r="K68" s="47" t="s">
        <v>899</v>
      </c>
      <c r="L68" s="47"/>
    </row>
    <row r="69" spans="1:18" x14ac:dyDescent="0.25">
      <c r="A69" s="7" t="s">
        <v>935</v>
      </c>
      <c r="B69" s="5" t="s">
        <v>900</v>
      </c>
      <c r="C69" s="5" t="s">
        <v>901</v>
      </c>
      <c r="D69" s="5" t="s">
        <v>106</v>
      </c>
      <c r="E69" s="5" t="s">
        <v>902</v>
      </c>
      <c r="F69" s="5" t="s">
        <v>903</v>
      </c>
      <c r="G69" s="5" t="s">
        <v>114</v>
      </c>
      <c r="H69" s="5" t="s">
        <v>904</v>
      </c>
      <c r="I69" s="5" t="s">
        <v>1217</v>
      </c>
      <c r="J69" s="5" t="s">
        <v>905</v>
      </c>
      <c r="K69" s="6" t="s">
        <v>906</v>
      </c>
      <c r="L69" s="5"/>
    </row>
    <row r="70" spans="1:18" x14ac:dyDescent="0.25">
      <c r="A70" s="1" t="s">
        <v>923</v>
      </c>
      <c r="B70" s="50">
        <f>K70*J70</f>
        <v>5987.5087999999987</v>
      </c>
      <c r="C70" s="50">
        <f t="shared" ref="C70:C79" si="24">B70*$F$6</f>
        <v>458.04442319999987</v>
      </c>
      <c r="D70" s="50">
        <f>(B70*$F$5)</f>
        <v>1197.5017599999999</v>
      </c>
      <c r="E70" s="50" cm="1">
        <f t="array" ref="E70">SUM(($C$4:$C$5)+(B70*$B$6))*J70</f>
        <v>1130.8846035199999</v>
      </c>
      <c r="F70" s="50">
        <f t="shared" ref="F70:F72" si="25">B70*$F$4</f>
        <v>119.75017599999998</v>
      </c>
      <c r="G70" s="50">
        <f>$C$7/2</f>
        <v>19.200000000000003</v>
      </c>
      <c r="I70" s="49">
        <v>0.04</v>
      </c>
      <c r="J70" s="49">
        <v>0.04</v>
      </c>
      <c r="K70" s="49">
        <f t="shared" ref="K70" si="26">(L70*(1+$G$7))</f>
        <v>149687.71999999997</v>
      </c>
      <c r="L70" s="69">
        <v>146036.79999999999</v>
      </c>
    </row>
    <row r="71" spans="1:18" x14ac:dyDescent="0.25">
      <c r="A71" s="1" t="s">
        <v>924</v>
      </c>
      <c r="B71" s="50">
        <f t="shared" ref="B71:B77" si="27">K71*J71</f>
        <v>1647.88</v>
      </c>
      <c r="C71" s="50">
        <f t="shared" si="24"/>
        <v>126.06282</v>
      </c>
      <c r="D71" s="50"/>
      <c r="E71" s="50"/>
      <c r="F71" s="50">
        <f t="shared" si="25"/>
        <v>32.957599999999999</v>
      </c>
      <c r="G71" s="50"/>
      <c r="H71" s="1" t="s">
        <v>1213</v>
      </c>
      <c r="I71" s="49">
        <v>0.04</v>
      </c>
      <c r="J71" s="49">
        <v>0.04</v>
      </c>
      <c r="K71" s="49">
        <f>31.69*1300</f>
        <v>41197</v>
      </c>
      <c r="L71" s="69"/>
      <c r="Q71" s="1" t="s">
        <v>733</v>
      </c>
      <c r="R71" s="10">
        <f t="shared" ref="R71:R76" si="28">_xlfn.XLOOKUP(Q71,$B$52:$G$52,$B$64:$G$64,0)</f>
        <v>210153.56189999994</v>
      </c>
    </row>
    <row r="72" spans="1:18" x14ac:dyDescent="0.25">
      <c r="A72" s="1" t="s">
        <v>926</v>
      </c>
      <c r="B72" s="50">
        <f t="shared" si="27"/>
        <v>703.62240000000008</v>
      </c>
      <c r="C72" s="50">
        <f t="shared" si="24"/>
        <v>53.827113600000004</v>
      </c>
      <c r="D72" s="50"/>
      <c r="E72" s="50"/>
      <c r="F72" s="50">
        <f t="shared" si="25"/>
        <v>14.072448000000001</v>
      </c>
      <c r="G72" s="50"/>
      <c r="H72" s="1" t="s">
        <v>1214</v>
      </c>
      <c r="I72" s="49">
        <v>0.04</v>
      </c>
      <c r="J72" s="49">
        <v>0.04</v>
      </c>
      <c r="K72" s="49">
        <f>28.19*624</f>
        <v>17590.560000000001</v>
      </c>
      <c r="L72" s="69"/>
      <c r="M72" s="1">
        <v>2.5000000000000001E-2</v>
      </c>
      <c r="N72" s="1">
        <v>2.5000000000000001E-2</v>
      </c>
      <c r="Q72" s="1" t="s">
        <v>735</v>
      </c>
      <c r="R72" s="10">
        <f t="shared" si="28"/>
        <v>16076.747485349995</v>
      </c>
    </row>
    <row r="73" spans="1:18" x14ac:dyDescent="0.25">
      <c r="A73" s="1" t="str">
        <f>"Staff (FT-"&amp;J73&amp;")"</f>
        <v>Staff (FT-0)</v>
      </c>
      <c r="B73" s="50">
        <f t="shared" si="27"/>
        <v>0</v>
      </c>
      <c r="C73" s="50"/>
      <c r="D73" s="50"/>
      <c r="E73" s="50"/>
      <c r="F73" s="50"/>
      <c r="G73" s="50"/>
      <c r="I73" s="49">
        <v>0.04</v>
      </c>
      <c r="J73" s="49">
        <v>0</v>
      </c>
      <c r="K73" s="49">
        <f>30.17*2080</f>
        <v>62753.600000000006</v>
      </c>
      <c r="L73" s="69"/>
      <c r="Q73" s="1" t="s">
        <v>736</v>
      </c>
      <c r="R73" s="10">
        <f t="shared" si="28"/>
        <v>30695.847519999999</v>
      </c>
    </row>
    <row r="74" spans="1:18" x14ac:dyDescent="0.25">
      <c r="A74" s="78" t="str">
        <f>"Staff (PT-"&amp;J74&amp;")"</f>
        <v>Staff (PT-0)</v>
      </c>
      <c r="B74" s="50">
        <f t="shared" si="27"/>
        <v>0</v>
      </c>
      <c r="C74" s="79"/>
      <c r="D74" s="79"/>
      <c r="E74" s="79"/>
      <c r="F74" s="79"/>
      <c r="G74" s="79"/>
      <c r="H74" s="78" t="s">
        <v>1215</v>
      </c>
      <c r="I74" s="49">
        <v>0.04</v>
      </c>
      <c r="J74" s="49">
        <v>0</v>
      </c>
      <c r="K74" s="49">
        <f>21.49*1040</f>
        <v>22349.599999999999</v>
      </c>
      <c r="L74" s="69"/>
      <c r="M74" s="54">
        <f>K71*M72</f>
        <v>1029.925</v>
      </c>
      <c r="N74" s="54">
        <f>(K71+M74)*N72</f>
        <v>1055.673125</v>
      </c>
      <c r="Q74" s="1" t="s">
        <v>737</v>
      </c>
      <c r="R74" s="10">
        <f t="shared" si="28"/>
        <v>114383.75237599999</v>
      </c>
    </row>
    <row r="75" spans="1:18" x14ac:dyDescent="0.25">
      <c r="A75" s="1" t="s">
        <v>911</v>
      </c>
      <c r="B75" s="50">
        <f t="shared" si="27"/>
        <v>0</v>
      </c>
      <c r="C75" s="50"/>
      <c r="D75" s="50"/>
      <c r="E75" s="50"/>
      <c r="F75" s="50"/>
      <c r="G75" s="50"/>
      <c r="I75" s="49">
        <v>0.04</v>
      </c>
      <c r="J75" s="49">
        <v>0</v>
      </c>
      <c r="K75" s="49">
        <f t="shared" ref="K75:K77" si="29">(L75*(1+$G$7))</f>
        <v>82401.799999999988</v>
      </c>
      <c r="L75" s="69">
        <v>80392</v>
      </c>
      <c r="M75" s="54">
        <f>K72*M72</f>
        <v>439.76400000000007</v>
      </c>
      <c r="N75" s="54">
        <f>(M75+K72)*N72</f>
        <v>450.75810000000001</v>
      </c>
      <c r="Q75" s="1" t="s">
        <v>738</v>
      </c>
      <c r="R75" s="10">
        <f t="shared" si="28"/>
        <v>4006.0952379999999</v>
      </c>
    </row>
    <row r="76" spans="1:18" x14ac:dyDescent="0.25">
      <c r="A76" s="78" t="s">
        <v>912</v>
      </c>
      <c r="B76" s="50">
        <f t="shared" si="27"/>
        <v>0</v>
      </c>
      <c r="C76" s="79"/>
      <c r="D76" s="79"/>
      <c r="E76" s="79"/>
      <c r="F76" s="79"/>
      <c r="G76" s="79"/>
      <c r="H76" s="78"/>
      <c r="I76" s="49">
        <v>0.04</v>
      </c>
      <c r="J76" s="49">
        <v>0</v>
      </c>
      <c r="K76" s="49">
        <f t="shared" si="29"/>
        <v>63384.359999999993</v>
      </c>
      <c r="L76" s="69">
        <v>61838.400000000001</v>
      </c>
      <c r="M76" s="54">
        <f>K73*M72*2</f>
        <v>3137.6800000000003</v>
      </c>
      <c r="N76" s="54">
        <f>(M76+K73)*N72*2</f>
        <v>3294.5640000000003</v>
      </c>
      <c r="Q76" s="1" t="s">
        <v>740</v>
      </c>
      <c r="R76" s="10">
        <f t="shared" si="28"/>
        <v>134.40000000000003</v>
      </c>
    </row>
    <row r="77" spans="1:18" x14ac:dyDescent="0.25">
      <c r="A77" s="1" t="s">
        <v>913</v>
      </c>
      <c r="B77" s="50">
        <f t="shared" si="27"/>
        <v>0</v>
      </c>
      <c r="C77" s="50"/>
      <c r="D77" s="50"/>
      <c r="E77" s="50"/>
      <c r="F77" s="50"/>
      <c r="G77" s="50"/>
      <c r="I77" s="49">
        <v>0.04</v>
      </c>
      <c r="J77" s="49">
        <v>0</v>
      </c>
      <c r="K77" s="49">
        <f t="shared" si="29"/>
        <v>31518.749999999996</v>
      </c>
      <c r="L77" s="69">
        <v>30750</v>
      </c>
      <c r="M77" s="54">
        <f>K74*M72*3</f>
        <v>1676.22</v>
      </c>
      <c r="N77" s="54">
        <f>(M77+K74)*N72*3</f>
        <v>1801.9364999999998</v>
      </c>
    </row>
    <row r="78" spans="1:18" x14ac:dyDescent="0.25">
      <c r="A78" s="1" t="s">
        <v>930</v>
      </c>
      <c r="B78" s="50">
        <f>(2080*(K78+K79))*J78</f>
        <v>787.904</v>
      </c>
      <c r="C78" s="50">
        <f t="shared" si="24"/>
        <v>60.274656</v>
      </c>
      <c r="D78" s="50"/>
      <c r="E78" s="50"/>
      <c r="F78" s="50"/>
      <c r="G78" s="50"/>
      <c r="I78" s="49">
        <v>0.04</v>
      </c>
      <c r="J78" s="49">
        <v>0.04</v>
      </c>
      <c r="K78" s="55">
        <v>4.62</v>
      </c>
      <c r="L78" s="69"/>
    </row>
    <row r="79" spans="1:18" x14ac:dyDescent="0.25">
      <c r="B79" s="50"/>
      <c r="C79" s="50">
        <f t="shared" si="24"/>
        <v>0</v>
      </c>
      <c r="D79" s="50"/>
      <c r="E79" s="50"/>
      <c r="F79" s="50"/>
      <c r="G79" s="50"/>
      <c r="I79" s="49"/>
      <c r="J79" s="49"/>
      <c r="K79" s="55">
        <v>4.8499999999999996</v>
      </c>
      <c r="L79" s="69"/>
    </row>
    <row r="80" spans="1:18" ht="15.75" thickBot="1" x14ac:dyDescent="0.3">
      <c r="A80" s="40" t="s">
        <v>934</v>
      </c>
      <c r="B80" s="43">
        <f>SUM(B70:B79)</f>
        <v>9126.9151999999995</v>
      </c>
      <c r="C80" s="43">
        <f t="shared" ref="C80:G80" si="30">SUM(C70:C79)</f>
        <v>698.20901279999987</v>
      </c>
      <c r="D80" s="43">
        <f t="shared" si="30"/>
        <v>1197.5017599999999</v>
      </c>
      <c r="E80" s="43">
        <f t="shared" si="30"/>
        <v>1130.8846035199999</v>
      </c>
      <c r="F80" s="43">
        <f t="shared" si="30"/>
        <v>166.78022399999998</v>
      </c>
      <c r="G80" s="43">
        <f t="shared" si="30"/>
        <v>19.200000000000003</v>
      </c>
      <c r="H80" s="43">
        <f>SUM(B80:G80)</f>
        <v>12339.49080032</v>
      </c>
      <c r="K80" s="55"/>
    </row>
    <row r="81" spans="1:8" ht="15.75" thickTop="1" x14ac:dyDescent="0.25">
      <c r="A81" s="1" t="s">
        <v>915</v>
      </c>
      <c r="B81" s="51">
        <f>_xlfn.XLOOKUP(B68,'Master Budget'!$G$4:$G$360,'Master Budget'!$P$4:$P$360,0)</f>
        <v>9126.9151999999995</v>
      </c>
      <c r="C81" s="51">
        <f>_xlfn.XLOOKUP(C68,'Master Budget'!$G$4:$G$360,'Master Budget'!$P$4:$P$360,0)</f>
        <v>698.20901279999987</v>
      </c>
      <c r="D81" s="51">
        <f>_xlfn.XLOOKUP(D68,'Master Budget'!$G$4:$G$360,'Master Budget'!$P$4:$P$360,0)</f>
        <v>1197.5017599999999</v>
      </c>
      <c r="E81" s="51">
        <f>_xlfn.XLOOKUP(E68,'Master Budget'!$G$4:$G$360,'Master Budget'!$P$4:$P$360,0)</f>
        <v>1130.8846035199999</v>
      </c>
      <c r="F81" s="51">
        <f>_xlfn.XLOOKUP(F68,'Master Budget'!$G$4:$G$360,'Master Budget'!$P$4:$P$360,0)</f>
        <v>166.78022399999998</v>
      </c>
      <c r="G81" s="51">
        <f>_xlfn.XLOOKUP(G68,'Master Budget'!$G$4:$G$360,'Master Budget'!$P$4:$P$360,0)</f>
        <v>19.200000000000003</v>
      </c>
    </row>
    <row r="82" spans="1:8" x14ac:dyDescent="0.25">
      <c r="B82" s="52">
        <f t="shared" ref="B82:G82" si="31">B80-B81</f>
        <v>0</v>
      </c>
      <c r="C82" s="52">
        <f t="shared" si="31"/>
        <v>0</v>
      </c>
      <c r="D82" s="52">
        <f t="shared" si="31"/>
        <v>0</v>
      </c>
      <c r="E82" s="52">
        <f t="shared" si="31"/>
        <v>0</v>
      </c>
      <c r="F82" s="52">
        <f t="shared" si="31"/>
        <v>0</v>
      </c>
      <c r="G82" s="52">
        <f t="shared" si="31"/>
        <v>0</v>
      </c>
    </row>
    <row r="83" spans="1:8" ht="21" customHeight="1" x14ac:dyDescent="0.25">
      <c r="B83" s="10"/>
      <c r="C83" s="10"/>
      <c r="D83" s="10"/>
      <c r="E83" s="10"/>
      <c r="F83" s="10"/>
      <c r="G83" s="10"/>
      <c r="H83" s="56">
        <f>SUM(H80,H64,H48,H32,H19)</f>
        <v>3109793.7569780201</v>
      </c>
    </row>
  </sheetData>
  <pageMargins left="0.7" right="0.7" top="0.75" bottom="0.75" header="0.3" footer="0.3"/>
  <pageSetup scale="69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F300B-6149-4692-86D9-050FA46AE700}">
  <sheetPr>
    <tabColor theme="9" tint="0.59999389629810485"/>
    <pageSetUpPr fitToPage="1"/>
  </sheetPr>
  <dimension ref="A1:W69"/>
  <sheetViews>
    <sheetView zoomScaleNormal="100" workbookViewId="0">
      <pane xSplit="1" ySplit="4" topLeftCell="B5" activePane="bottomRight" state="frozen"/>
      <selection pane="topRight" activeCell="H59" sqref="H59"/>
      <selection pane="bottomLeft" activeCell="H59" sqref="H59"/>
      <selection pane="bottomRight" activeCell="K8" sqref="K8"/>
    </sheetView>
  </sheetViews>
  <sheetFormatPr defaultRowHeight="15" x14ac:dyDescent="0.25"/>
  <cols>
    <col min="1" max="1" width="24.85546875" style="1" customWidth="1"/>
    <col min="2" max="2" width="11" style="1" hidden="1" customWidth="1"/>
    <col min="3" max="6" width="12.28515625" style="1" hidden="1" customWidth="1"/>
    <col min="7" max="7" width="13.85546875" style="1" hidden="1" customWidth="1"/>
    <col min="8" max="9" width="12.28515625" style="1" hidden="1" customWidth="1"/>
    <col min="10" max="12" width="12.28515625" style="1" customWidth="1"/>
    <col min="13" max="13" width="11.140625" style="1" bestFit="1" customWidth="1"/>
    <col min="14" max="14" width="22.140625" style="3" bestFit="1" customWidth="1"/>
    <col min="15" max="15" width="13.85546875" style="1" hidden="1" customWidth="1"/>
    <col min="16" max="16" width="14.5703125" style="1" hidden="1" customWidth="1"/>
    <col min="17" max="18" width="15.140625" style="1" hidden="1" customWidth="1"/>
    <col min="19" max="19" width="15.85546875" style="1" hidden="1" customWidth="1"/>
    <col min="20" max="22" width="13.85546875" style="1" customWidth="1"/>
    <col min="23" max="23" width="15.85546875" style="1" bestFit="1" customWidth="1"/>
    <col min="24" max="16384" width="9.140625" style="1"/>
  </cols>
  <sheetData>
    <row r="1" spans="1:22" x14ac:dyDescent="0.25">
      <c r="A1" s="1" t="s">
        <v>825</v>
      </c>
      <c r="C1" s="2">
        <f t="shared" ref="C1:L1" si="0">C17+C20+C25+C43+C60</f>
        <v>1289000</v>
      </c>
      <c r="D1" s="2">
        <f t="shared" si="0"/>
        <v>4281000</v>
      </c>
      <c r="E1" s="2">
        <f t="shared" si="0"/>
        <v>10115000</v>
      </c>
      <c r="F1" s="2">
        <f t="shared" si="0"/>
        <v>9273000</v>
      </c>
      <c r="G1" s="2">
        <f t="shared" si="0"/>
        <v>9706000</v>
      </c>
      <c r="H1" s="2">
        <f t="shared" si="0"/>
        <v>29381000</v>
      </c>
      <c r="I1" s="133">
        <f t="shared" si="0"/>
        <v>10255500</v>
      </c>
      <c r="J1" s="133">
        <f t="shared" si="0"/>
        <v>6105000</v>
      </c>
      <c r="K1" s="133">
        <f t="shared" si="0"/>
        <v>6025000</v>
      </c>
      <c r="L1" s="133">
        <f t="shared" si="0"/>
        <v>3249000</v>
      </c>
    </row>
    <row r="2" spans="1:22" x14ac:dyDescent="0.25">
      <c r="A2" s="1" t="s">
        <v>953</v>
      </c>
    </row>
    <row r="4" spans="1:22" x14ac:dyDescent="0.25">
      <c r="A4" s="4" t="s">
        <v>954</v>
      </c>
      <c r="B4" s="5" t="s">
        <v>44</v>
      </c>
      <c r="C4" s="5" t="s">
        <v>955</v>
      </c>
      <c r="D4" s="5" t="s">
        <v>956</v>
      </c>
      <c r="E4" s="5" t="s">
        <v>957</v>
      </c>
      <c r="F4" s="5" t="s">
        <v>958</v>
      </c>
      <c r="G4" s="5" t="s">
        <v>959</v>
      </c>
      <c r="H4" s="5" t="s">
        <v>960</v>
      </c>
      <c r="I4" s="5" t="s">
        <v>961</v>
      </c>
      <c r="J4" s="5" t="s">
        <v>962</v>
      </c>
      <c r="K4" s="5" t="s">
        <v>963</v>
      </c>
      <c r="L4" s="5" t="s">
        <v>964</v>
      </c>
      <c r="O4" s="6" t="str">
        <f>D4</f>
        <v>FY23</v>
      </c>
      <c r="P4" s="6" t="str">
        <f>E4</f>
        <v>FY23 Amended</v>
      </c>
      <c r="Q4" s="6" t="str">
        <f>F4</f>
        <v>FY24</v>
      </c>
      <c r="R4" s="6" t="str">
        <f>G4</f>
        <v>FY24 Amended</v>
      </c>
      <c r="S4" s="6" t="str">
        <f>H4</f>
        <v>FY25</v>
      </c>
      <c r="T4" s="6" t="str">
        <f>J4</f>
        <v>FY26</v>
      </c>
      <c r="U4" s="6" t="str">
        <f>K4</f>
        <v>FY26 Amended</v>
      </c>
      <c r="V4" s="6" t="str">
        <f>L4</f>
        <v>FY27</v>
      </c>
    </row>
    <row r="5" spans="1:22" x14ac:dyDescent="0.25">
      <c r="B5" s="6"/>
      <c r="C5" s="6"/>
      <c r="D5" s="6"/>
      <c r="E5" s="6"/>
      <c r="F5" s="6"/>
      <c r="G5" s="6"/>
    </row>
    <row r="6" spans="1:22" x14ac:dyDescent="0.25">
      <c r="A6" s="7" t="s">
        <v>32</v>
      </c>
      <c r="N6" s="3" t="s">
        <v>341</v>
      </c>
      <c r="O6" s="8">
        <f>D20</f>
        <v>0</v>
      </c>
      <c r="P6" s="8">
        <f>E20</f>
        <v>5000000</v>
      </c>
      <c r="Q6" s="8">
        <f>F20</f>
        <v>0</v>
      </c>
      <c r="R6" s="8">
        <f>G20</f>
        <v>0</v>
      </c>
      <c r="S6" s="8">
        <f>H20</f>
        <v>14000000</v>
      </c>
      <c r="T6" s="8">
        <f>J20</f>
        <v>0</v>
      </c>
      <c r="U6" s="8">
        <f>K20</f>
        <v>0</v>
      </c>
      <c r="V6" s="8">
        <f>L20</f>
        <v>0</v>
      </c>
    </row>
    <row r="7" spans="1:22" x14ac:dyDescent="0.25">
      <c r="A7" s="9" t="s">
        <v>965</v>
      </c>
      <c r="B7" s="10"/>
      <c r="C7" s="8">
        <v>0</v>
      </c>
      <c r="D7" s="8">
        <v>295000</v>
      </c>
      <c r="E7" s="8">
        <v>412000</v>
      </c>
      <c r="F7" s="8">
        <v>0</v>
      </c>
      <c r="G7" s="8">
        <v>0</v>
      </c>
      <c r="H7" s="8"/>
      <c r="I7" s="8"/>
      <c r="J7" s="8"/>
      <c r="K7" s="8"/>
      <c r="L7" s="8"/>
      <c r="N7" s="3" t="s">
        <v>343</v>
      </c>
      <c r="O7" s="8">
        <f>D17</f>
        <v>365000</v>
      </c>
      <c r="P7" s="8">
        <f>E17</f>
        <v>867000</v>
      </c>
      <c r="Q7" s="8">
        <f>F17</f>
        <v>40000</v>
      </c>
      <c r="R7" s="8">
        <f>G17</f>
        <v>40000</v>
      </c>
      <c r="S7" s="8">
        <f>H17</f>
        <v>295000</v>
      </c>
      <c r="T7" s="8">
        <f>J17</f>
        <v>0</v>
      </c>
      <c r="U7" s="8">
        <f>K17</f>
        <v>0</v>
      </c>
      <c r="V7" s="8">
        <f>L17</f>
        <v>619000</v>
      </c>
    </row>
    <row r="8" spans="1:22" x14ac:dyDescent="0.25">
      <c r="A8" s="9" t="s">
        <v>966</v>
      </c>
      <c r="B8" s="10"/>
      <c r="C8" s="8"/>
      <c r="D8" s="8"/>
      <c r="E8" s="8">
        <v>285000</v>
      </c>
      <c r="F8" s="8"/>
      <c r="G8" s="8"/>
      <c r="H8" s="8"/>
      <c r="I8" s="8"/>
      <c r="J8" s="8"/>
      <c r="K8" s="8"/>
      <c r="L8" s="8"/>
      <c r="N8" s="3" t="s">
        <v>440</v>
      </c>
      <c r="O8" s="8">
        <f>D25</f>
        <v>0</v>
      </c>
      <c r="P8" s="8">
        <f>E25</f>
        <v>0</v>
      </c>
      <c r="Q8" s="8">
        <f>F25</f>
        <v>0</v>
      </c>
      <c r="R8" s="8">
        <f>G25</f>
        <v>0</v>
      </c>
      <c r="S8" s="8">
        <f>H25</f>
        <v>0</v>
      </c>
      <c r="T8" s="8">
        <f>J25</f>
        <v>515000</v>
      </c>
      <c r="U8" s="8">
        <f>K25</f>
        <v>515000</v>
      </c>
      <c r="V8" s="8">
        <f>L25</f>
        <v>0</v>
      </c>
    </row>
    <row r="9" spans="1:22" x14ac:dyDescent="0.25">
      <c r="A9" s="9" t="s">
        <v>967</v>
      </c>
      <c r="B9" s="10"/>
      <c r="C9" s="8"/>
      <c r="D9" s="8"/>
      <c r="E9" s="8"/>
      <c r="F9" s="8"/>
      <c r="G9" s="8"/>
      <c r="H9" s="8">
        <v>295000</v>
      </c>
      <c r="I9" s="8">
        <v>295000</v>
      </c>
      <c r="J9" s="8"/>
      <c r="K9" s="8"/>
      <c r="L9" s="8"/>
      <c r="N9" s="11" t="s">
        <v>672</v>
      </c>
      <c r="O9" s="8">
        <f>D43</f>
        <v>150000</v>
      </c>
      <c r="P9" s="8">
        <f>E43</f>
        <v>482000</v>
      </c>
      <c r="Q9" s="8">
        <f>F43</f>
        <v>4050000</v>
      </c>
      <c r="R9" s="8">
        <f>G43</f>
        <v>3800000</v>
      </c>
      <c r="S9" s="8">
        <f>H43</f>
        <v>3905500</v>
      </c>
      <c r="T9" s="8">
        <f>J43</f>
        <v>970000</v>
      </c>
      <c r="U9" s="8">
        <f>K43</f>
        <v>930000</v>
      </c>
      <c r="V9" s="8">
        <f>L43</f>
        <v>1590000</v>
      </c>
    </row>
    <row r="10" spans="1:22" x14ac:dyDescent="0.25">
      <c r="A10" s="9" t="s">
        <v>968</v>
      </c>
      <c r="B10" s="10"/>
      <c r="C10" s="8">
        <v>0</v>
      </c>
      <c r="D10" s="8">
        <v>0</v>
      </c>
      <c r="E10" s="8">
        <v>0</v>
      </c>
      <c r="F10" s="8"/>
      <c r="G10" s="8"/>
      <c r="H10" s="8"/>
      <c r="I10" s="8"/>
      <c r="J10" s="8"/>
      <c r="K10" s="8"/>
      <c r="L10" s="8">
        <v>450000</v>
      </c>
      <c r="N10" s="11" t="s">
        <v>788</v>
      </c>
      <c r="O10" s="8">
        <f>D60</f>
        <v>3766000</v>
      </c>
      <c r="P10" s="8">
        <f>E60</f>
        <v>3766000</v>
      </c>
      <c r="Q10" s="8">
        <f>F60</f>
        <v>5183000</v>
      </c>
      <c r="R10" s="8">
        <f>G60</f>
        <v>5866000</v>
      </c>
      <c r="S10" s="8">
        <f>H60</f>
        <v>11180500</v>
      </c>
      <c r="T10" s="8">
        <f>J60</f>
        <v>4620000</v>
      </c>
      <c r="U10" s="8">
        <f>K60</f>
        <v>4580000</v>
      </c>
      <c r="V10" s="8">
        <f>L60</f>
        <v>1040000</v>
      </c>
    </row>
    <row r="11" spans="1:22" x14ac:dyDescent="0.25">
      <c r="A11" s="9" t="s">
        <v>969</v>
      </c>
      <c r="B11" s="10"/>
      <c r="C11" s="8"/>
      <c r="D11" s="8"/>
      <c r="E11" s="8"/>
      <c r="F11" s="8"/>
      <c r="G11" s="8"/>
      <c r="H11" s="8"/>
      <c r="I11" s="8"/>
      <c r="J11" s="8"/>
      <c r="K11" s="8"/>
      <c r="L11" s="8">
        <v>65000</v>
      </c>
      <c r="N11" s="11" t="s">
        <v>811</v>
      </c>
      <c r="O11" s="8">
        <f>D65</f>
        <v>0</v>
      </c>
      <c r="P11" s="8">
        <f>E65</f>
        <v>0</v>
      </c>
      <c r="Q11" s="8">
        <f>F65</f>
        <v>0</v>
      </c>
      <c r="R11" s="8">
        <f>G65</f>
        <v>0</v>
      </c>
      <c r="S11" s="8">
        <f>H65</f>
        <v>0</v>
      </c>
      <c r="T11" s="8">
        <f>J65</f>
        <v>0</v>
      </c>
      <c r="U11" s="8">
        <f>K65</f>
        <v>0</v>
      </c>
      <c r="V11" s="8">
        <f>L65</f>
        <v>0</v>
      </c>
    </row>
    <row r="12" spans="1:22" x14ac:dyDescent="0.25">
      <c r="A12" s="9" t="s">
        <v>970</v>
      </c>
      <c r="B12" s="10"/>
      <c r="C12" s="8"/>
      <c r="D12" s="8"/>
      <c r="E12" s="8"/>
      <c r="F12" s="8"/>
      <c r="G12" s="8"/>
      <c r="H12" s="8"/>
      <c r="I12" s="8"/>
      <c r="J12" s="8"/>
      <c r="K12" s="8"/>
      <c r="L12" s="8">
        <v>60000</v>
      </c>
      <c r="N12" s="11"/>
      <c r="O12" s="12">
        <f t="shared" ref="O12:V12" si="1">SUM(O6:O11)</f>
        <v>4281000</v>
      </c>
      <c r="P12" s="12">
        <f t="shared" si="1"/>
        <v>10115000</v>
      </c>
      <c r="Q12" s="12">
        <f t="shared" si="1"/>
        <v>9273000</v>
      </c>
      <c r="R12" s="12">
        <f t="shared" si="1"/>
        <v>9706000</v>
      </c>
      <c r="S12" s="12">
        <f t="shared" si="1"/>
        <v>29381000</v>
      </c>
      <c r="T12" s="12">
        <f t="shared" ref="T12:U12" si="2">SUM(T6:T11)</f>
        <v>6105000</v>
      </c>
      <c r="U12" s="12">
        <f t="shared" si="2"/>
        <v>6025000</v>
      </c>
      <c r="V12" s="12">
        <f t="shared" si="1"/>
        <v>3249000</v>
      </c>
    </row>
    <row r="13" spans="1:22" x14ac:dyDescent="0.25">
      <c r="A13" s="9" t="s">
        <v>971</v>
      </c>
      <c r="B13" s="10"/>
      <c r="C13" s="8"/>
      <c r="D13" s="8"/>
      <c r="E13" s="8"/>
      <c r="F13" s="8"/>
      <c r="G13" s="8"/>
      <c r="H13" s="8"/>
      <c r="I13" s="8"/>
      <c r="J13" s="8"/>
      <c r="K13" s="8"/>
      <c r="L13" s="8">
        <v>9000</v>
      </c>
      <c r="N13" s="11"/>
    </row>
    <row r="14" spans="1:22" x14ac:dyDescent="0.25">
      <c r="A14" s="9" t="s">
        <v>972</v>
      </c>
      <c r="B14" s="10"/>
      <c r="C14" s="8"/>
      <c r="D14" s="8"/>
      <c r="E14" s="8"/>
      <c r="F14" s="8"/>
      <c r="G14" s="8"/>
      <c r="H14" s="8"/>
      <c r="I14" s="8"/>
      <c r="J14" s="8"/>
      <c r="K14" s="8"/>
      <c r="L14" s="8">
        <v>35000</v>
      </c>
      <c r="N14" s="11" t="s">
        <v>973</v>
      </c>
      <c r="O14" s="17">
        <f>O12-D67</f>
        <v>0</v>
      </c>
      <c r="P14" s="17">
        <f>P12-E67</f>
        <v>0</v>
      </c>
      <c r="Q14" s="17">
        <f>Q12-F67</f>
        <v>0</v>
      </c>
      <c r="R14" s="17">
        <f>R12-G67</f>
        <v>0</v>
      </c>
      <c r="S14" s="17">
        <f>S12-H67</f>
        <v>0</v>
      </c>
      <c r="T14" s="17">
        <f>T12-J67</f>
        <v>0</v>
      </c>
      <c r="U14" s="17">
        <f>U12-K67</f>
        <v>0</v>
      </c>
      <c r="V14" s="17">
        <f>V12-L67</f>
        <v>0</v>
      </c>
    </row>
    <row r="15" spans="1:22" x14ac:dyDescent="0.25">
      <c r="A15" s="9" t="s">
        <v>974</v>
      </c>
      <c r="B15" s="10"/>
      <c r="C15" s="8">
        <v>0</v>
      </c>
      <c r="D15" s="8">
        <v>70000</v>
      </c>
      <c r="E15" s="8">
        <v>70000</v>
      </c>
      <c r="F15" s="8">
        <v>40000</v>
      </c>
      <c r="G15" s="8">
        <v>40000</v>
      </c>
      <c r="H15" s="8"/>
      <c r="I15" s="8"/>
      <c r="J15" s="8"/>
      <c r="K15" s="8"/>
      <c r="L15" s="8"/>
    </row>
    <row r="16" spans="1:22" x14ac:dyDescent="0.25">
      <c r="A16" s="9" t="s">
        <v>975</v>
      </c>
      <c r="B16" s="10"/>
      <c r="C16" s="8"/>
      <c r="D16" s="8"/>
      <c r="E16" s="8">
        <v>100000</v>
      </c>
      <c r="F16" s="8">
        <v>0</v>
      </c>
      <c r="G16" s="8">
        <v>0</v>
      </c>
      <c r="H16" s="8"/>
      <c r="I16" s="8"/>
      <c r="J16" s="8"/>
      <c r="K16" s="8"/>
      <c r="L16" s="8"/>
      <c r="N16" s="3" t="s">
        <v>976</v>
      </c>
      <c r="O16" s="10"/>
      <c r="P16" s="10"/>
      <c r="Q16" s="10"/>
      <c r="R16" s="10"/>
      <c r="S16" s="10"/>
      <c r="T16" s="10"/>
      <c r="U16" s="10"/>
      <c r="V16" s="10"/>
    </row>
    <row r="17" spans="1:23" x14ac:dyDescent="0.25">
      <c r="A17" s="13" t="s">
        <v>344</v>
      </c>
      <c r="B17" s="14" t="s">
        <v>343</v>
      </c>
      <c r="C17" s="15">
        <f t="shared" ref="C17:L17" si="3">SUM(C7:C16)</f>
        <v>0</v>
      </c>
      <c r="D17" s="15">
        <f t="shared" si="3"/>
        <v>365000</v>
      </c>
      <c r="E17" s="15">
        <f t="shared" si="3"/>
        <v>867000</v>
      </c>
      <c r="F17" s="15">
        <f t="shared" si="3"/>
        <v>40000</v>
      </c>
      <c r="G17" s="15">
        <f t="shared" si="3"/>
        <v>40000</v>
      </c>
      <c r="H17" s="15">
        <f t="shared" si="3"/>
        <v>295000</v>
      </c>
      <c r="I17" s="15">
        <f t="shared" si="3"/>
        <v>295000</v>
      </c>
      <c r="J17" s="15">
        <f t="shared" si="3"/>
        <v>0</v>
      </c>
      <c r="K17" s="15">
        <f t="shared" si="3"/>
        <v>0</v>
      </c>
      <c r="L17" s="15">
        <f t="shared" si="3"/>
        <v>619000</v>
      </c>
      <c r="N17" s="3" t="s">
        <v>341</v>
      </c>
      <c r="O17" s="10"/>
      <c r="P17" s="10"/>
      <c r="Q17" s="10"/>
      <c r="R17" s="10">
        <f>SUMIFS('Budget Worksheet'!$J$5:$J$234,'Budget Worksheet'!$B$5:$B$234,'27 Capital Budget'!N17)</f>
        <v>0</v>
      </c>
      <c r="S17" s="10">
        <f>SUMIFS('Budget Worksheet'!$L$5:$L$234,'Budget Worksheet'!$B$5:$B$234,'27 Capital Budget'!N17)</f>
        <v>14000000</v>
      </c>
      <c r="T17" s="10">
        <f>SUMIFS('Budget Worksheet'!$P$5:$P$234,'Budget Worksheet'!$B$5:$B$234,N17)</f>
        <v>0</v>
      </c>
      <c r="U17" s="10">
        <f>SUMIFS('Budget Worksheet'!$S$5:$S$234,'Budget Worksheet'!$B$5:$B$234,'27 Capital Budget'!N17)</f>
        <v>0</v>
      </c>
      <c r="V17" s="10">
        <f>SUMIFS('Budget Worksheet'!$U$5:$U$234,'Budget Worksheet'!$B$5:$B$234,N17)</f>
        <v>0</v>
      </c>
    </row>
    <row r="18" spans="1:23" x14ac:dyDescent="0.25">
      <c r="A18" s="9"/>
      <c r="B18" s="3"/>
      <c r="C18" s="16"/>
      <c r="D18" s="16"/>
      <c r="E18" s="16"/>
      <c r="F18" s="16"/>
      <c r="G18" s="16"/>
      <c r="H18" s="16"/>
      <c r="I18" s="16"/>
      <c r="J18" s="16"/>
      <c r="K18" s="16"/>
      <c r="L18" s="16"/>
      <c r="N18" s="3" t="s">
        <v>343</v>
      </c>
      <c r="O18" s="10"/>
      <c r="P18" s="10"/>
      <c r="Q18" s="10"/>
      <c r="R18" s="10">
        <f>SUMIFS('Budget Worksheet'!$J$5:$J$234,'Budget Worksheet'!$B$5:$B$234,'27 Capital Budget'!N18)</f>
        <v>40000</v>
      </c>
      <c r="S18" s="10">
        <f>SUMIFS('Budget Worksheet'!$L$5:$L$234,'Budget Worksheet'!$B$5:$B$234,'27 Capital Budget'!N18)</f>
        <v>295000</v>
      </c>
      <c r="T18" s="10">
        <f>SUMIFS('Budget Worksheet'!$P$5:$P$234,'Budget Worksheet'!$B$5:$B$234,N18)</f>
        <v>0</v>
      </c>
      <c r="U18" s="10">
        <f>SUMIFS('Budget Worksheet'!$S$5:$S$234,'Budget Worksheet'!$B$5:$B$234,'27 Capital Budget'!N18)</f>
        <v>0</v>
      </c>
      <c r="V18" s="10">
        <f>SUMIFS('Budget Worksheet'!$U$5:$U$234,'Budget Worksheet'!$B$5:$B$234,N18)</f>
        <v>619000</v>
      </c>
    </row>
    <row r="19" spans="1:23" x14ac:dyDescent="0.25">
      <c r="A19" s="9" t="s">
        <v>977</v>
      </c>
      <c r="B19" s="10"/>
      <c r="C19" s="8"/>
      <c r="D19" s="8"/>
      <c r="E19" s="8">
        <v>5000000</v>
      </c>
      <c r="F19" s="8"/>
      <c r="G19" s="8"/>
      <c r="H19" s="8">
        <v>14000000</v>
      </c>
      <c r="I19" s="8"/>
      <c r="J19" s="8"/>
      <c r="K19" s="8"/>
      <c r="L19" s="8"/>
      <c r="N19" s="3" t="s">
        <v>440</v>
      </c>
      <c r="O19" s="10"/>
      <c r="P19" s="10"/>
      <c r="Q19" s="10"/>
      <c r="R19" s="10">
        <f>SUMIFS('Budget Worksheet'!$J$5:$J$234,'Budget Worksheet'!$B$5:$B$234,'27 Capital Budget'!N19)</f>
        <v>0</v>
      </c>
      <c r="S19" s="10">
        <f>SUMIFS('Budget Worksheet'!$L$5:$L$234,'Budget Worksheet'!$B$5:$B$234,'27 Capital Budget'!N19)</f>
        <v>0</v>
      </c>
      <c r="T19" s="10">
        <f>SUMIFS('Budget Worksheet'!$P$5:$P$234,'Budget Worksheet'!$B$5:$B$234,N19)</f>
        <v>515000</v>
      </c>
      <c r="U19" s="10">
        <f>SUMIFS('Budget Worksheet'!$S$5:$S$234,'Budget Worksheet'!$B$5:$B$234,'27 Capital Budget'!N19)</f>
        <v>515000</v>
      </c>
      <c r="V19" s="10">
        <f>SUMIFS('Budget Worksheet'!$U$5:$U$234,'Budget Worksheet'!$B$5:$B$234,N19)</f>
        <v>0</v>
      </c>
    </row>
    <row r="20" spans="1:23" x14ac:dyDescent="0.25">
      <c r="A20" s="13" t="s">
        <v>978</v>
      </c>
      <c r="B20" s="14" t="s">
        <v>341</v>
      </c>
      <c r="C20" s="15">
        <f>SUM(C19)</f>
        <v>0</v>
      </c>
      <c r="D20" s="15">
        <f t="shared" ref="D20:L20" si="4">SUM(D19)</f>
        <v>0</v>
      </c>
      <c r="E20" s="15">
        <f t="shared" si="4"/>
        <v>5000000</v>
      </c>
      <c r="F20" s="15">
        <f t="shared" si="4"/>
        <v>0</v>
      </c>
      <c r="G20" s="15">
        <f t="shared" si="4"/>
        <v>0</v>
      </c>
      <c r="H20" s="15">
        <f t="shared" si="4"/>
        <v>14000000</v>
      </c>
      <c r="I20" s="15">
        <f t="shared" si="4"/>
        <v>0</v>
      </c>
      <c r="J20" s="15">
        <f t="shared" ref="J20:K20" si="5">SUM(J19)</f>
        <v>0</v>
      </c>
      <c r="K20" s="15">
        <f t="shared" si="5"/>
        <v>0</v>
      </c>
      <c r="L20" s="15">
        <f t="shared" si="4"/>
        <v>0</v>
      </c>
      <c r="N20" s="11" t="s">
        <v>672</v>
      </c>
      <c r="O20" s="10"/>
      <c r="P20" s="10"/>
      <c r="Q20" s="10"/>
      <c r="R20" s="10">
        <f>SUMIFS('Budget Worksheet'!$J$5:$J$234,'Budget Worksheet'!$B$5:$B$234,'27 Capital Budget'!N20)</f>
        <v>3800000</v>
      </c>
      <c r="S20" s="10">
        <f>SUMIFS('Budget Worksheet'!$L$5:$L$234,'Budget Worksheet'!$B$5:$B$234,'27 Capital Budget'!N20)</f>
        <v>3905500</v>
      </c>
      <c r="T20" s="10">
        <f>SUMIFS('Budget Worksheet'!$P$5:$P$234,'Budget Worksheet'!$B$5:$B$234,N20)</f>
        <v>970000</v>
      </c>
      <c r="U20" s="10">
        <f>SUMIFS('Budget Worksheet'!$S$5:$S$234,'Budget Worksheet'!$B$5:$B$234,'27 Capital Budget'!N20)</f>
        <v>930000</v>
      </c>
      <c r="V20" s="10">
        <f>SUMIFS('Budget Worksheet'!$U$5:$U$234,'Budget Worksheet'!$B$5:$B$234,N20)</f>
        <v>1590000</v>
      </c>
    </row>
    <row r="21" spans="1:23" x14ac:dyDescent="0.25">
      <c r="A21" s="18"/>
      <c r="B21" s="10"/>
      <c r="C21" s="19"/>
      <c r="D21" s="19"/>
      <c r="E21" s="19"/>
      <c r="F21" s="19"/>
      <c r="G21" s="19"/>
      <c r="H21" s="8"/>
      <c r="I21" s="8"/>
      <c r="J21" s="8"/>
      <c r="K21" s="8"/>
      <c r="L21" s="8"/>
      <c r="N21" s="11" t="s">
        <v>788</v>
      </c>
      <c r="O21" s="10"/>
      <c r="P21" s="10"/>
      <c r="Q21" s="10"/>
      <c r="R21" s="10">
        <f>SUMIFS('Budget Worksheet'!$J$5:$J$234,'Budget Worksheet'!$B$5:$B$234,'27 Capital Budget'!N21)</f>
        <v>5866000</v>
      </c>
      <c r="S21" s="10">
        <f>SUMIFS('Budget Worksheet'!$L$5:$L$234,'Budget Worksheet'!$B$5:$B$234,'27 Capital Budget'!N21)</f>
        <v>11180500</v>
      </c>
      <c r="T21" s="10">
        <f>SUMIFS('Budget Worksheet'!$P$5:$P$234,'Budget Worksheet'!$B$5:$B$234,N21)</f>
        <v>4620000</v>
      </c>
      <c r="U21" s="10">
        <f>SUMIFS('Budget Worksheet'!$S$5:$S$234,'Budget Worksheet'!$B$5:$B$234,'27 Capital Budget'!N21)</f>
        <v>4580000</v>
      </c>
      <c r="V21" s="10">
        <f>SUMIFS('Budget Worksheet'!$U$5:$U$234,'Budget Worksheet'!$B$5:$B$234,N21)</f>
        <v>1040000</v>
      </c>
    </row>
    <row r="22" spans="1:23" x14ac:dyDescent="0.25">
      <c r="A22" s="7" t="s">
        <v>979</v>
      </c>
      <c r="B22" s="10"/>
      <c r="C22" s="8"/>
      <c r="D22" s="8"/>
      <c r="E22" s="8"/>
      <c r="F22" s="8"/>
      <c r="G22" s="8"/>
      <c r="H22" s="8"/>
      <c r="I22" s="8"/>
      <c r="J22" s="8"/>
      <c r="K22" s="8"/>
      <c r="L22" s="8"/>
      <c r="N22" s="11" t="s">
        <v>811</v>
      </c>
      <c r="O22" s="10"/>
      <c r="P22" s="10"/>
      <c r="Q22" s="10"/>
      <c r="R22" s="10">
        <f>SUMIFS('Budget Worksheet'!$J$5:$J$234,'Budget Worksheet'!$B$5:$B$234,'27 Capital Budget'!N22)</f>
        <v>0</v>
      </c>
      <c r="S22" s="10">
        <f>SUMIFS('Budget Worksheet'!$L$5:$L$234,'Budget Worksheet'!$B$5:$B$234,'27 Capital Budget'!N22)</f>
        <v>0</v>
      </c>
      <c r="T22" s="10">
        <f>SUMIFS('Budget Worksheet'!$P$5:$P$234,'Budget Worksheet'!$B$5:$B$234,N22)</f>
        <v>0</v>
      </c>
      <c r="U22" s="10">
        <f>SUMIFS('Budget Worksheet'!$S$5:$S$234,'Budget Worksheet'!$B$5:$B$234,'27 Capital Budget'!N22)</f>
        <v>0</v>
      </c>
      <c r="V22" s="10">
        <f>SUMIFS('Budget Worksheet'!$U$5:$U$234,'Budget Worksheet'!$B$5:$B$234,N22)</f>
        <v>0</v>
      </c>
    </row>
    <row r="23" spans="1:23" x14ac:dyDescent="0.25">
      <c r="A23" s="9" t="s">
        <v>980</v>
      </c>
      <c r="B23" s="10"/>
      <c r="C23" s="8">
        <v>0</v>
      </c>
      <c r="D23" s="8">
        <v>0</v>
      </c>
      <c r="E23" s="8"/>
      <c r="F23" s="8"/>
      <c r="G23" s="8"/>
      <c r="H23" s="8"/>
      <c r="I23" s="8"/>
      <c r="J23" s="8">
        <v>445000</v>
      </c>
      <c r="K23" s="8">
        <v>445000</v>
      </c>
      <c r="L23" s="8"/>
      <c r="N23" s="11"/>
      <c r="O23" s="192">
        <f t="shared" ref="O23:Q23" si="6">SUM(O17:O22)</f>
        <v>0</v>
      </c>
      <c r="P23" s="192">
        <f t="shared" si="6"/>
        <v>0</v>
      </c>
      <c r="Q23" s="192">
        <f t="shared" si="6"/>
        <v>0</v>
      </c>
      <c r="R23" s="192">
        <f>SUM(R17:R22)</f>
        <v>9706000</v>
      </c>
      <c r="S23" s="192">
        <f t="shared" ref="S23" si="7">SUM(S17:S22)</f>
        <v>29381000</v>
      </c>
      <c r="T23" s="192">
        <f t="shared" ref="T23:V23" si="8">SUM(T17:T22)</f>
        <v>6105000</v>
      </c>
      <c r="U23" s="192">
        <f t="shared" si="8"/>
        <v>6025000</v>
      </c>
      <c r="V23" s="192">
        <f t="shared" si="8"/>
        <v>3249000</v>
      </c>
    </row>
    <row r="24" spans="1:23" x14ac:dyDescent="0.25">
      <c r="A24" s="9" t="s">
        <v>981</v>
      </c>
      <c r="B24" s="10"/>
      <c r="C24" s="8"/>
      <c r="D24" s="8"/>
      <c r="E24" s="8"/>
      <c r="F24" s="8"/>
      <c r="G24" s="8"/>
      <c r="H24" s="8"/>
      <c r="I24" s="8"/>
      <c r="J24" s="8">
        <v>70000</v>
      </c>
      <c r="K24" s="8">
        <v>70000</v>
      </c>
      <c r="L24" s="8"/>
      <c r="N24" s="11" t="s">
        <v>973</v>
      </c>
      <c r="O24" s="17"/>
      <c r="P24" s="17"/>
      <c r="Q24" s="17"/>
      <c r="R24" s="17">
        <f>R12-R23</f>
        <v>0</v>
      </c>
      <c r="S24" s="17">
        <f>S12-S23</f>
        <v>0</v>
      </c>
      <c r="T24" s="17">
        <f>T12-T23</f>
        <v>0</v>
      </c>
      <c r="U24" s="17">
        <f>U12-U23</f>
        <v>0</v>
      </c>
      <c r="V24" s="17">
        <f>V12-V23</f>
        <v>0</v>
      </c>
    </row>
    <row r="25" spans="1:23" x14ac:dyDescent="0.25">
      <c r="A25" s="13" t="s">
        <v>978</v>
      </c>
      <c r="B25" s="14" t="s">
        <v>440</v>
      </c>
      <c r="C25" s="15">
        <f t="shared" ref="C25:I25" si="9">SUM(C23:C24)</f>
        <v>0</v>
      </c>
      <c r="D25" s="15">
        <f t="shared" si="9"/>
        <v>0</v>
      </c>
      <c r="E25" s="15">
        <f t="shared" si="9"/>
        <v>0</v>
      </c>
      <c r="F25" s="15">
        <f t="shared" si="9"/>
        <v>0</v>
      </c>
      <c r="G25" s="15">
        <f t="shared" si="9"/>
        <v>0</v>
      </c>
      <c r="H25" s="15">
        <f t="shared" si="9"/>
        <v>0</v>
      </c>
      <c r="I25" s="15">
        <f t="shared" si="9"/>
        <v>0</v>
      </c>
      <c r="J25" s="15">
        <f>SUM(J23:J24)</f>
        <v>515000</v>
      </c>
      <c r="K25" s="15">
        <f>SUM(K23:K24)</f>
        <v>515000</v>
      </c>
      <c r="L25" s="15">
        <f>SUM(L23:L24)</f>
        <v>0</v>
      </c>
      <c r="N25" s="11"/>
    </row>
    <row r="26" spans="1:23" x14ac:dyDescent="0.25">
      <c r="A26" s="18"/>
      <c r="B26" s="10"/>
      <c r="C26" s="19"/>
      <c r="D26" s="19"/>
      <c r="E26" s="19"/>
      <c r="F26" s="19"/>
      <c r="G26" s="19"/>
      <c r="H26" s="8"/>
      <c r="I26" s="8"/>
      <c r="J26" s="8"/>
      <c r="K26" s="8"/>
      <c r="L26" s="8"/>
      <c r="N26" s="11"/>
    </row>
    <row r="27" spans="1:23" x14ac:dyDescent="0.25">
      <c r="B27" s="10"/>
      <c r="C27" s="8"/>
      <c r="D27" s="8"/>
      <c r="E27" s="8"/>
      <c r="F27" s="8"/>
      <c r="G27" s="8"/>
      <c r="H27" s="8"/>
      <c r="I27" s="8"/>
      <c r="J27" s="8"/>
      <c r="K27" s="8"/>
      <c r="L27" s="8"/>
      <c r="N27" s="11"/>
      <c r="O27" s="140" t="s">
        <v>33</v>
      </c>
      <c r="P27" s="140"/>
    </row>
    <row r="28" spans="1:23" x14ac:dyDescent="0.25">
      <c r="A28" s="7" t="s">
        <v>33</v>
      </c>
      <c r="B28" s="10"/>
      <c r="C28" s="8"/>
      <c r="D28" s="8"/>
      <c r="E28" s="8"/>
      <c r="F28" s="8"/>
      <c r="G28" s="8"/>
      <c r="H28" s="8"/>
      <c r="I28" s="8"/>
      <c r="J28" s="8"/>
      <c r="K28" s="8"/>
      <c r="L28" s="8"/>
      <c r="M28" s="10"/>
      <c r="N28" s="11"/>
      <c r="O28" s="5" t="s">
        <v>982</v>
      </c>
      <c r="P28" s="5" t="s">
        <v>983</v>
      </c>
      <c r="Q28" s="5"/>
      <c r="R28" s="141" t="s">
        <v>984</v>
      </c>
      <c r="S28" s="5" t="s">
        <v>985</v>
      </c>
      <c r="T28" s="5" t="s">
        <v>986</v>
      </c>
      <c r="U28" s="5" t="s">
        <v>986</v>
      </c>
      <c r="V28" s="5" t="s">
        <v>986</v>
      </c>
      <c r="W28" s="5" t="s">
        <v>987</v>
      </c>
    </row>
    <row r="29" spans="1:23" x14ac:dyDescent="0.25">
      <c r="A29" s="9" t="s">
        <v>988</v>
      </c>
      <c r="B29" s="10"/>
      <c r="C29" s="8">
        <v>0</v>
      </c>
      <c r="D29" s="8">
        <v>100000</v>
      </c>
      <c r="E29" s="8">
        <v>100000</v>
      </c>
      <c r="F29" s="8">
        <v>100000</v>
      </c>
      <c r="G29" s="8">
        <v>100000</v>
      </c>
      <c r="H29" s="8">
        <v>25000</v>
      </c>
      <c r="I29" s="8"/>
      <c r="J29" s="8">
        <v>0</v>
      </c>
      <c r="K29" s="8">
        <v>0</v>
      </c>
      <c r="L29" s="8">
        <v>0</v>
      </c>
      <c r="M29" s="10"/>
      <c r="N29" s="11"/>
      <c r="O29" s="8">
        <v>3000000</v>
      </c>
      <c r="P29" s="8">
        <v>2000000</v>
      </c>
      <c r="Q29" s="8">
        <v>100000</v>
      </c>
      <c r="R29" s="8">
        <f>4000000+462000</f>
        <v>4462000</v>
      </c>
      <c r="S29" s="8">
        <v>3000000</v>
      </c>
      <c r="T29" s="8">
        <v>1000000</v>
      </c>
      <c r="U29" s="8">
        <v>1000000</v>
      </c>
      <c r="V29" s="8">
        <v>1000000</v>
      </c>
      <c r="W29" s="8">
        <v>3551000</v>
      </c>
    </row>
    <row r="30" spans="1:23" x14ac:dyDescent="0.25">
      <c r="A30" s="9" t="s">
        <v>989</v>
      </c>
      <c r="B30" s="10"/>
      <c r="C30" s="8"/>
      <c r="D30" s="8">
        <v>50000</v>
      </c>
      <c r="E30" s="20">
        <v>82000</v>
      </c>
      <c r="F30" s="8">
        <v>0</v>
      </c>
      <c r="G30" s="8">
        <v>0</v>
      </c>
      <c r="H30" s="8"/>
      <c r="I30" s="8"/>
      <c r="J30" s="8"/>
      <c r="K30" s="8"/>
      <c r="L30" s="8"/>
      <c r="M30" s="10"/>
      <c r="N30" s="11" t="s">
        <v>990</v>
      </c>
      <c r="O30" s="21">
        <v>-1200000</v>
      </c>
      <c r="P30" s="8"/>
      <c r="Q30" s="8"/>
      <c r="R30" s="8"/>
      <c r="S30" s="8"/>
      <c r="T30" s="8"/>
      <c r="U30" s="8"/>
      <c r="V30" s="8"/>
    </row>
    <row r="31" spans="1:23" x14ac:dyDescent="0.25">
      <c r="A31" s="9" t="s">
        <v>991</v>
      </c>
      <c r="B31" s="10"/>
      <c r="C31" s="8">
        <v>55000</v>
      </c>
      <c r="D31" s="8">
        <v>0</v>
      </c>
      <c r="E31" s="8"/>
      <c r="F31" s="8"/>
      <c r="G31" s="8"/>
      <c r="H31" s="8"/>
      <c r="I31" s="8"/>
      <c r="J31" s="8"/>
      <c r="K31" s="8"/>
      <c r="L31" s="8"/>
      <c r="M31" s="10"/>
      <c r="N31" s="11" t="s">
        <v>992</v>
      </c>
      <c r="O31" s="21">
        <f>-239000-3700</f>
        <v>-242700</v>
      </c>
      <c r="P31" s="8"/>
      <c r="Q31" s="8"/>
      <c r="R31" s="8"/>
      <c r="S31" s="8"/>
      <c r="T31" s="8"/>
      <c r="U31" s="8"/>
      <c r="V31" s="8"/>
    </row>
    <row r="32" spans="1:23" x14ac:dyDescent="0.25">
      <c r="A32" s="9" t="s">
        <v>993</v>
      </c>
      <c r="B32" s="10"/>
      <c r="C32" s="8">
        <v>1000000</v>
      </c>
      <c r="D32" s="8"/>
      <c r="E32" s="8"/>
      <c r="F32" s="8"/>
      <c r="G32" s="8"/>
      <c r="H32" s="8"/>
      <c r="I32" s="8"/>
      <c r="J32" s="8"/>
      <c r="K32" s="8"/>
      <c r="L32" s="8"/>
      <c r="M32" s="10"/>
      <c r="N32" s="11" t="s">
        <v>994</v>
      </c>
      <c r="O32" s="142">
        <f>-741749-93000-O33</f>
        <v>-764749</v>
      </c>
      <c r="P32" s="8"/>
      <c r="Q32" s="8"/>
      <c r="R32" s="8"/>
      <c r="S32" s="8"/>
      <c r="T32" s="8"/>
      <c r="U32" s="8"/>
      <c r="V32" s="8"/>
    </row>
    <row r="33" spans="1:23" x14ac:dyDescent="0.25">
      <c r="A33" s="9" t="s">
        <v>995</v>
      </c>
      <c r="B33" s="10"/>
      <c r="C33" s="8"/>
      <c r="D33" s="21"/>
      <c r="E33" s="21">
        <v>50000</v>
      </c>
      <c r="F33" s="21">
        <f>2000000+2000000-E33-E41-F34</f>
        <v>3750000</v>
      </c>
      <c r="G33" s="20">
        <v>3500000</v>
      </c>
      <c r="H33" s="8">
        <v>3500000</v>
      </c>
      <c r="I33" s="8">
        <v>2000000</v>
      </c>
      <c r="J33" s="8">
        <v>850000</v>
      </c>
      <c r="K33" s="8">
        <v>850000</v>
      </c>
      <c r="L33" s="8">
        <v>200000</v>
      </c>
      <c r="M33" s="10"/>
      <c r="N33" s="11" t="s">
        <v>996</v>
      </c>
      <c r="O33" s="143">
        <v>-70000</v>
      </c>
      <c r="P33" s="8"/>
      <c r="Q33" s="8"/>
      <c r="R33" s="8"/>
      <c r="S33" s="8"/>
      <c r="T33" s="8"/>
      <c r="U33" s="8"/>
      <c r="V33" s="8"/>
    </row>
    <row r="34" spans="1:23" x14ac:dyDescent="0.25">
      <c r="A34" s="9" t="s">
        <v>997</v>
      </c>
      <c r="B34" s="10"/>
      <c r="C34" s="8"/>
      <c r="D34" s="8"/>
      <c r="E34" s="8"/>
      <c r="F34" s="8">
        <v>200000</v>
      </c>
      <c r="G34" s="8">
        <v>200000</v>
      </c>
      <c r="H34" s="8"/>
      <c r="I34" s="8"/>
      <c r="J34" s="8"/>
      <c r="K34" s="8"/>
      <c r="L34" s="8"/>
      <c r="M34" s="10"/>
      <c r="N34" s="11" t="s">
        <v>998</v>
      </c>
      <c r="O34" s="8">
        <v>-400000</v>
      </c>
      <c r="P34" s="8"/>
      <c r="Q34" s="8"/>
      <c r="R34" s="8"/>
      <c r="S34" s="8"/>
      <c r="T34" s="8"/>
      <c r="U34" s="8"/>
      <c r="V34" s="8"/>
    </row>
    <row r="35" spans="1:23" x14ac:dyDescent="0.25">
      <c r="A35" s="9" t="s">
        <v>999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>
        <v>1350000</v>
      </c>
      <c r="M35" s="10"/>
      <c r="N35" s="11" t="s">
        <v>1000</v>
      </c>
      <c r="O35" s="8">
        <v>-291000</v>
      </c>
      <c r="P35" s="8"/>
      <c r="Q35" s="8"/>
      <c r="R35" s="8"/>
      <c r="S35" s="8"/>
      <c r="T35" s="8"/>
      <c r="U35" s="8"/>
      <c r="V35" s="8"/>
    </row>
    <row r="36" spans="1:23" x14ac:dyDescent="0.25">
      <c r="A36" s="9" t="s">
        <v>1001</v>
      </c>
      <c r="B36" s="10"/>
      <c r="C36" s="8"/>
      <c r="D36" s="8"/>
      <c r="E36" s="21">
        <v>250000</v>
      </c>
      <c r="F36" s="8"/>
      <c r="G36" s="8"/>
      <c r="H36" s="8">
        <v>300000</v>
      </c>
      <c r="I36" s="8">
        <v>300000</v>
      </c>
      <c r="J36" s="8"/>
      <c r="K36" s="8"/>
      <c r="L36" s="8"/>
      <c r="M36" s="10"/>
      <c r="N36" s="3" t="s">
        <v>1002</v>
      </c>
      <c r="O36" s="8">
        <v>-9000</v>
      </c>
      <c r="P36" s="8"/>
      <c r="Q36" s="8"/>
      <c r="R36" s="8"/>
      <c r="S36" s="8"/>
      <c r="T36" s="8"/>
      <c r="U36" s="8"/>
      <c r="V36" s="8"/>
    </row>
    <row r="37" spans="1:23" x14ac:dyDescent="0.25">
      <c r="A37" s="9" t="s">
        <v>1003</v>
      </c>
      <c r="B37" s="10"/>
      <c r="C37" s="8"/>
      <c r="D37" s="8"/>
      <c r="E37" s="8"/>
      <c r="F37" s="8"/>
      <c r="G37" s="8"/>
      <c r="H37" s="8">
        <f>81000/2</f>
        <v>40500</v>
      </c>
      <c r="I37" s="8">
        <f>81000/2</f>
        <v>40500</v>
      </c>
      <c r="J37" s="8"/>
      <c r="K37" s="8"/>
      <c r="L37" s="8"/>
      <c r="M37" s="10"/>
      <c r="O37" s="8"/>
      <c r="P37" s="8"/>
      <c r="Q37" s="8"/>
      <c r="R37" s="8"/>
      <c r="S37" s="8"/>
      <c r="T37" s="8"/>
      <c r="U37" s="8"/>
      <c r="V37" s="8"/>
    </row>
    <row r="38" spans="1:23" x14ac:dyDescent="0.25">
      <c r="A38" s="9" t="s">
        <v>1004</v>
      </c>
      <c r="B38" s="10"/>
      <c r="C38" s="8"/>
      <c r="D38" s="8"/>
      <c r="E38" s="8"/>
      <c r="F38" s="8"/>
      <c r="G38" s="8"/>
      <c r="H38" s="8">
        <v>35000</v>
      </c>
      <c r="I38" s="8"/>
      <c r="J38" s="20">
        <v>35000</v>
      </c>
      <c r="K38" s="20">
        <v>0</v>
      </c>
      <c r="L38" s="8">
        <v>35000</v>
      </c>
      <c r="M38" s="10"/>
      <c r="N38" s="11"/>
      <c r="O38" s="8"/>
      <c r="P38" s="8"/>
      <c r="Q38" s="8"/>
      <c r="R38" s="8"/>
      <c r="S38" s="8"/>
      <c r="T38" s="8"/>
      <c r="U38" s="8"/>
      <c r="V38" s="8"/>
    </row>
    <row r="39" spans="1:23" x14ac:dyDescent="0.25">
      <c r="A39" s="9" t="s">
        <v>1005</v>
      </c>
      <c r="B39" s="10"/>
      <c r="C39" s="8"/>
      <c r="D39" s="8"/>
      <c r="E39" s="8"/>
      <c r="F39" s="8"/>
      <c r="G39" s="8"/>
      <c r="H39" s="8">
        <v>5000</v>
      </c>
      <c r="I39" s="8"/>
      <c r="J39" s="20">
        <v>5000</v>
      </c>
      <c r="K39" s="20">
        <v>0</v>
      </c>
      <c r="L39" s="8">
        <v>5000</v>
      </c>
      <c r="M39" s="10"/>
      <c r="N39" s="11" t="s">
        <v>1006</v>
      </c>
      <c r="O39" s="8"/>
      <c r="P39" s="8"/>
      <c r="Q39" s="8">
        <v>-100000</v>
      </c>
      <c r="R39" s="8"/>
      <c r="S39" s="8"/>
      <c r="T39" s="8"/>
      <c r="U39" s="8"/>
      <c r="V39" s="8"/>
    </row>
    <row r="40" spans="1:23" x14ac:dyDescent="0.25">
      <c r="A40" s="9" t="s">
        <v>1007</v>
      </c>
      <c r="B40" s="10"/>
      <c r="C40" s="8"/>
      <c r="D40" s="8"/>
      <c r="E40" s="8"/>
      <c r="F40" s="8"/>
      <c r="G40" s="8"/>
      <c r="H40" s="8"/>
      <c r="I40" s="8"/>
      <c r="J40" s="8">
        <v>40000</v>
      </c>
      <c r="K40" s="8">
        <v>40000</v>
      </c>
      <c r="L40" s="8">
        <v>0</v>
      </c>
      <c r="M40" s="10"/>
      <c r="N40" s="11" t="s">
        <v>1008</v>
      </c>
      <c r="O40" s="8"/>
      <c r="P40" s="8">
        <v>-2000000</v>
      </c>
      <c r="Q40" s="8"/>
      <c r="R40" s="8"/>
      <c r="S40" s="8"/>
      <c r="T40" s="8"/>
      <c r="U40" s="8"/>
      <c r="V40" s="8"/>
    </row>
    <row r="41" spans="1:23" x14ac:dyDescent="0.25">
      <c r="A41" s="9" t="s">
        <v>1009</v>
      </c>
      <c r="B41" s="10"/>
      <c r="C41" s="8"/>
      <c r="D41" s="8"/>
      <c r="E41" s="8"/>
      <c r="F41" s="8"/>
      <c r="G41" s="8"/>
      <c r="H41" s="8"/>
      <c r="I41" s="8"/>
      <c r="J41" s="8">
        <v>40000</v>
      </c>
      <c r="K41" s="8">
        <v>40000</v>
      </c>
      <c r="L41" s="8">
        <v>0</v>
      </c>
      <c r="N41" s="11"/>
      <c r="O41" s="8"/>
      <c r="P41" s="8"/>
      <c r="Q41" s="8"/>
      <c r="R41" s="8"/>
      <c r="S41" s="8"/>
      <c r="T41" s="8"/>
      <c r="U41" s="8"/>
      <c r="V41" s="8"/>
    </row>
    <row r="42" spans="1:23" x14ac:dyDescent="0.25">
      <c r="A42" s="9" t="s">
        <v>1010</v>
      </c>
      <c r="B42" s="10"/>
      <c r="C42" s="8"/>
      <c r="D42" s="8"/>
      <c r="E42" s="8"/>
      <c r="F42" s="8"/>
      <c r="G42" s="8"/>
      <c r="H42" s="8"/>
      <c r="I42" s="8">
        <v>120000</v>
      </c>
      <c r="J42" s="8"/>
      <c r="K42" s="8"/>
      <c r="L42" s="8"/>
      <c r="N42" s="11" t="s">
        <v>1011</v>
      </c>
      <c r="O42" s="8"/>
      <c r="P42" s="8"/>
      <c r="Q42" s="8"/>
      <c r="R42" s="8">
        <v>-750000</v>
      </c>
      <c r="S42" s="8"/>
      <c r="T42" s="8"/>
      <c r="U42" s="8"/>
      <c r="V42" s="8"/>
    </row>
    <row r="43" spans="1:23" x14ac:dyDescent="0.25">
      <c r="A43" s="13" t="s">
        <v>978</v>
      </c>
      <c r="B43" s="14" t="s">
        <v>672</v>
      </c>
      <c r="C43" s="15">
        <f t="shared" ref="C43:L43" si="10">SUM(C29:C42)</f>
        <v>1055000</v>
      </c>
      <c r="D43" s="15">
        <f t="shared" si="10"/>
        <v>150000</v>
      </c>
      <c r="E43" s="15">
        <f t="shared" si="10"/>
        <v>482000</v>
      </c>
      <c r="F43" s="15">
        <f t="shared" si="10"/>
        <v>4050000</v>
      </c>
      <c r="G43" s="15">
        <f t="shared" si="10"/>
        <v>3800000</v>
      </c>
      <c r="H43" s="15">
        <f t="shared" si="10"/>
        <v>3905500</v>
      </c>
      <c r="I43" s="15">
        <f t="shared" si="10"/>
        <v>2460500</v>
      </c>
      <c r="J43" s="15">
        <f t="shared" si="10"/>
        <v>970000</v>
      </c>
      <c r="K43" s="15">
        <f t="shared" ref="K43" si="11">SUM(K29:K42)</f>
        <v>930000</v>
      </c>
      <c r="L43" s="15">
        <f t="shared" si="10"/>
        <v>1590000</v>
      </c>
      <c r="N43" s="11" t="s">
        <v>1012</v>
      </c>
      <c r="O43" s="8"/>
      <c r="P43" s="8"/>
      <c r="Q43" s="8"/>
      <c r="R43" s="8">
        <v>-400000</v>
      </c>
      <c r="S43" s="8"/>
      <c r="T43" s="8"/>
      <c r="U43" s="8"/>
      <c r="V43" s="8"/>
    </row>
    <row r="44" spans="1:23" x14ac:dyDescent="0.25">
      <c r="A44" s="18"/>
      <c r="B44" s="10"/>
      <c r="C44" s="19"/>
      <c r="D44" s="19"/>
      <c r="E44" s="19"/>
      <c r="F44" s="19"/>
      <c r="G44" s="19"/>
      <c r="H44" s="8"/>
      <c r="I44" s="8"/>
      <c r="J44" s="8"/>
      <c r="K44" s="8"/>
      <c r="L44" s="8"/>
      <c r="N44" s="11" t="s">
        <v>1013</v>
      </c>
      <c r="O44" s="8"/>
      <c r="P44" s="8"/>
      <c r="Q44" s="8"/>
      <c r="R44" s="8">
        <f>-2850000-462000</f>
        <v>-3312000</v>
      </c>
      <c r="S44" s="8">
        <v>-3000000</v>
      </c>
      <c r="T44" s="8">
        <f>-1000000-T45</f>
        <v>-900000</v>
      </c>
      <c r="U44" s="8">
        <f>-1000000-U45</f>
        <v>-900000</v>
      </c>
      <c r="V44" s="8">
        <f>-1000000-V45</f>
        <v>-900000</v>
      </c>
      <c r="W44" s="8">
        <f>-10500000-V44-S44-R44</f>
        <v>-3288000</v>
      </c>
    </row>
    <row r="45" spans="1:23" x14ac:dyDescent="0.25">
      <c r="B45" s="10"/>
      <c r="C45" s="8"/>
      <c r="D45" s="8"/>
      <c r="E45" s="8"/>
      <c r="F45" s="8"/>
      <c r="G45" s="8"/>
      <c r="H45" s="8"/>
      <c r="I45" s="8"/>
      <c r="J45" s="8"/>
      <c r="K45" s="8"/>
      <c r="L45" s="8"/>
      <c r="N45" s="11" t="s">
        <v>1014</v>
      </c>
      <c r="O45" s="8"/>
      <c r="P45" s="8"/>
      <c r="Q45" s="8"/>
      <c r="R45" s="8"/>
      <c r="S45" s="8"/>
      <c r="T45" s="8">
        <v>-100000</v>
      </c>
      <c r="U45" s="8">
        <v>-100000</v>
      </c>
      <c r="V45" s="8">
        <v>-100000</v>
      </c>
    </row>
    <row r="46" spans="1:23" x14ac:dyDescent="0.25">
      <c r="A46" s="7" t="s">
        <v>34</v>
      </c>
      <c r="B46" s="10"/>
      <c r="C46" s="8"/>
      <c r="D46" s="8"/>
      <c r="E46" s="8"/>
      <c r="F46" s="8"/>
      <c r="G46" s="8"/>
      <c r="H46" s="8"/>
      <c r="I46" s="8"/>
      <c r="J46" s="8"/>
      <c r="K46" s="8"/>
      <c r="L46" s="8"/>
      <c r="N46" s="11"/>
      <c r="O46" s="12">
        <f t="shared" ref="O46:W46" si="12">SUM(O29:O45)</f>
        <v>22551</v>
      </c>
      <c r="P46" s="12">
        <f t="shared" si="12"/>
        <v>0</v>
      </c>
      <c r="Q46" s="12">
        <f t="shared" si="12"/>
        <v>0</v>
      </c>
      <c r="R46" s="12">
        <f t="shared" si="12"/>
        <v>0</v>
      </c>
      <c r="S46" s="12">
        <f t="shared" si="12"/>
        <v>0</v>
      </c>
      <c r="T46" s="12">
        <f t="shared" ref="T46:U46" si="13">SUM(T29:T45)</f>
        <v>0</v>
      </c>
      <c r="U46" s="12">
        <f t="shared" si="13"/>
        <v>0</v>
      </c>
      <c r="V46" s="12">
        <f t="shared" si="12"/>
        <v>0</v>
      </c>
      <c r="W46" s="12">
        <f t="shared" si="12"/>
        <v>263000</v>
      </c>
    </row>
    <row r="47" spans="1:23" x14ac:dyDescent="0.25">
      <c r="A47" s="9" t="s">
        <v>1015</v>
      </c>
      <c r="B47" s="10"/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/>
      <c r="J47" s="8">
        <v>0</v>
      </c>
      <c r="K47" s="8">
        <v>0</v>
      </c>
      <c r="L47" s="8">
        <v>0</v>
      </c>
      <c r="N47" s="11"/>
    </row>
    <row r="48" spans="1:23" x14ac:dyDescent="0.25">
      <c r="A48" s="9" t="s">
        <v>1016</v>
      </c>
      <c r="B48" s="22"/>
      <c r="C48" s="23">
        <f>SUM(C49:C51)</f>
        <v>234000</v>
      </c>
      <c r="D48" s="23">
        <f>SUM(D49:D51)</f>
        <v>3766000</v>
      </c>
      <c r="E48" s="23">
        <f>SUM(E49:E51)</f>
        <v>3766000</v>
      </c>
      <c r="F48" s="23">
        <f>SUM(F49:F51)</f>
        <v>5183000</v>
      </c>
      <c r="G48" s="23">
        <f>SUM(G49:G51)</f>
        <v>5766000</v>
      </c>
      <c r="H48" s="139">
        <v>11000000</v>
      </c>
      <c r="I48" s="139">
        <v>7500000</v>
      </c>
      <c r="J48" s="23">
        <v>4500000</v>
      </c>
      <c r="K48" s="23">
        <v>4500000</v>
      </c>
      <c r="L48" s="23">
        <v>1000000</v>
      </c>
      <c r="N48" s="11"/>
    </row>
    <row r="49" spans="1:14" x14ac:dyDescent="0.25">
      <c r="A49" s="24" t="s">
        <v>1017</v>
      </c>
      <c r="B49" s="25"/>
      <c r="C49" s="26">
        <f>164000+70000</f>
        <v>234000</v>
      </c>
      <c r="D49" s="26">
        <f>4000000-C49</f>
        <v>3766000</v>
      </c>
      <c r="E49" s="26">
        <f>4000000-C49</f>
        <v>3766000</v>
      </c>
      <c r="F49" s="26">
        <f>4949000+2000000-E49</f>
        <v>3183000</v>
      </c>
      <c r="G49" s="26">
        <f>4949000+2000000-F49</f>
        <v>3766000</v>
      </c>
      <c r="H49" s="26">
        <v>0</v>
      </c>
      <c r="I49" s="26"/>
      <c r="J49" s="26">
        <v>0</v>
      </c>
      <c r="K49" s="26">
        <v>0</v>
      </c>
      <c r="L49" s="26">
        <v>0</v>
      </c>
      <c r="N49" s="11"/>
    </row>
    <row r="50" spans="1:14" x14ac:dyDescent="0.25">
      <c r="A50" s="24" t="s">
        <v>1018</v>
      </c>
      <c r="B50" s="25"/>
      <c r="C50" s="27"/>
      <c r="D50" s="27"/>
      <c r="E50" s="27"/>
      <c r="F50" s="27">
        <v>2000000</v>
      </c>
      <c r="G50" s="27">
        <v>2000000</v>
      </c>
      <c r="H50" s="27">
        <v>0</v>
      </c>
      <c r="I50" s="27"/>
      <c r="J50" s="27">
        <v>0</v>
      </c>
      <c r="K50" s="27">
        <v>0</v>
      </c>
      <c r="L50" s="27">
        <v>0</v>
      </c>
      <c r="N50" s="11"/>
    </row>
    <row r="51" spans="1:14" x14ac:dyDescent="0.25">
      <c r="A51" s="28"/>
      <c r="B51" s="10"/>
      <c r="C51" s="8"/>
      <c r="D51" s="8"/>
      <c r="E51" s="8"/>
      <c r="F51" s="8"/>
      <c r="G51" s="27"/>
      <c r="H51" s="27"/>
      <c r="I51" s="27"/>
      <c r="J51" s="27"/>
      <c r="K51" s="27"/>
      <c r="L51" s="27"/>
      <c r="N51" s="11"/>
    </row>
    <row r="52" spans="1:14" x14ac:dyDescent="0.25">
      <c r="A52" s="9" t="s">
        <v>1019</v>
      </c>
      <c r="B52" s="10"/>
      <c r="C52" s="8"/>
      <c r="D52" s="8"/>
      <c r="E52" s="8"/>
      <c r="F52" s="8"/>
      <c r="G52" s="8"/>
      <c r="H52" s="8"/>
      <c r="I52" s="8"/>
      <c r="J52" s="8"/>
      <c r="K52" s="8"/>
      <c r="L52" s="8"/>
      <c r="N52" s="11"/>
    </row>
    <row r="53" spans="1:14" x14ac:dyDescent="0.25">
      <c r="A53" s="9" t="s">
        <v>1003</v>
      </c>
      <c r="B53" s="10"/>
      <c r="C53" s="8"/>
      <c r="D53" s="8"/>
      <c r="E53" s="8"/>
      <c r="F53" s="8"/>
      <c r="G53" s="8"/>
      <c r="H53" s="8">
        <f>81000/2</f>
        <v>40500</v>
      </c>
      <c r="I53" s="8"/>
      <c r="J53" s="8"/>
      <c r="K53" s="8"/>
      <c r="L53" s="8"/>
      <c r="N53" s="11"/>
    </row>
    <row r="54" spans="1:14" x14ac:dyDescent="0.25">
      <c r="A54" s="9" t="s">
        <v>1004</v>
      </c>
      <c r="B54" s="10"/>
      <c r="C54" s="8"/>
      <c r="D54" s="8"/>
      <c r="E54" s="8"/>
      <c r="F54" s="8"/>
      <c r="G54" s="8"/>
      <c r="H54" s="8">
        <v>35000</v>
      </c>
      <c r="I54" s="8"/>
      <c r="J54" s="193">
        <v>35000</v>
      </c>
      <c r="K54" s="193">
        <v>0</v>
      </c>
      <c r="L54" s="8">
        <v>35000</v>
      </c>
      <c r="N54" s="11"/>
    </row>
    <row r="55" spans="1:14" x14ac:dyDescent="0.25">
      <c r="A55" s="9" t="s">
        <v>1005</v>
      </c>
      <c r="B55" s="10"/>
      <c r="C55" s="8"/>
      <c r="D55" s="8"/>
      <c r="E55" s="8"/>
      <c r="F55" s="8"/>
      <c r="G55" s="8"/>
      <c r="H55" s="8">
        <v>5000</v>
      </c>
      <c r="I55" s="8"/>
      <c r="J55" s="193">
        <v>5000</v>
      </c>
      <c r="K55" s="193">
        <v>0</v>
      </c>
      <c r="L55" s="8">
        <v>5000</v>
      </c>
      <c r="N55" s="11"/>
    </row>
    <row r="56" spans="1:14" x14ac:dyDescent="0.25">
      <c r="A56" s="9" t="s">
        <v>1007</v>
      </c>
      <c r="B56" s="10"/>
      <c r="C56" s="8"/>
      <c r="D56" s="8"/>
      <c r="E56" s="8"/>
      <c r="F56" s="8"/>
      <c r="G56" s="8"/>
      <c r="H56" s="8"/>
      <c r="I56" s="8"/>
      <c r="J56" s="8">
        <v>40000</v>
      </c>
      <c r="K56" s="8">
        <v>40000</v>
      </c>
      <c r="L56" s="8">
        <v>0</v>
      </c>
      <c r="N56" s="11"/>
    </row>
    <row r="57" spans="1:14" x14ac:dyDescent="0.25">
      <c r="A57" s="9" t="s">
        <v>1009</v>
      </c>
      <c r="B57" s="10"/>
      <c r="C57" s="8"/>
      <c r="D57" s="8"/>
      <c r="E57" s="8"/>
      <c r="F57" s="8"/>
      <c r="G57" s="8"/>
      <c r="H57" s="8"/>
      <c r="I57" s="8"/>
      <c r="J57" s="8">
        <v>40000</v>
      </c>
      <c r="K57" s="8">
        <v>40000</v>
      </c>
      <c r="L57" s="8">
        <v>0</v>
      </c>
      <c r="N57" s="11"/>
    </row>
    <row r="58" spans="1:14" x14ac:dyDescent="0.25">
      <c r="A58" s="9" t="s">
        <v>1020</v>
      </c>
      <c r="B58" s="10"/>
      <c r="C58" s="8"/>
      <c r="D58" s="8"/>
      <c r="E58" s="8"/>
      <c r="F58" s="8"/>
      <c r="G58" s="8">
        <v>100000</v>
      </c>
      <c r="H58" s="8">
        <v>100000</v>
      </c>
      <c r="I58" s="8"/>
      <c r="J58" s="8"/>
      <c r="K58" s="8"/>
      <c r="L58" s="8"/>
      <c r="N58" s="11"/>
    </row>
    <row r="59" spans="1:14" x14ac:dyDescent="0.25">
      <c r="A59" s="9"/>
      <c r="B59" s="10"/>
      <c r="C59" s="8"/>
      <c r="D59" s="8"/>
      <c r="E59" s="8"/>
      <c r="F59" s="8"/>
      <c r="G59" s="8"/>
      <c r="H59" s="8"/>
      <c r="I59" s="8"/>
      <c r="J59" s="8"/>
      <c r="K59" s="8"/>
      <c r="L59" s="8"/>
      <c r="N59" s="11"/>
    </row>
    <row r="60" spans="1:14" x14ac:dyDescent="0.25">
      <c r="A60" s="13" t="s">
        <v>978</v>
      </c>
      <c r="B60" s="14" t="s">
        <v>788</v>
      </c>
      <c r="C60" s="15">
        <f t="shared" ref="C60:H60" si="14">SUM(C47:C48,C51:C59)</f>
        <v>234000</v>
      </c>
      <c r="D60" s="15">
        <f t="shared" si="14"/>
        <v>3766000</v>
      </c>
      <c r="E60" s="15">
        <f t="shared" si="14"/>
        <v>3766000</v>
      </c>
      <c r="F60" s="15">
        <f t="shared" si="14"/>
        <v>5183000</v>
      </c>
      <c r="G60" s="15">
        <f t="shared" si="14"/>
        <v>5866000</v>
      </c>
      <c r="H60" s="15">
        <f t="shared" si="14"/>
        <v>11180500</v>
      </c>
      <c r="I60" s="15">
        <f>SUM(I47:I48,I51:I59)</f>
        <v>7500000</v>
      </c>
      <c r="J60" s="15">
        <f>SUM(J47:J48,J51:J59)</f>
        <v>4620000</v>
      </c>
      <c r="K60" s="15">
        <f>SUM(K47:K48,K51:K59)</f>
        <v>4580000</v>
      </c>
      <c r="L60" s="15">
        <f>SUM(L47:L48,L51:L59)</f>
        <v>1040000</v>
      </c>
      <c r="N60" s="11"/>
    </row>
    <row r="61" spans="1:14" x14ac:dyDescent="0.25">
      <c r="A61" s="18"/>
      <c r="B61" s="10"/>
      <c r="C61" s="19"/>
      <c r="D61" s="19"/>
      <c r="E61" s="19"/>
      <c r="F61" s="19"/>
      <c r="G61" s="19"/>
      <c r="H61" s="8"/>
      <c r="I61" s="8"/>
      <c r="J61" s="8"/>
      <c r="K61" s="8"/>
      <c r="L61" s="8"/>
      <c r="N61" s="11"/>
    </row>
    <row r="62" spans="1:14" x14ac:dyDescent="0.25">
      <c r="A62" s="7" t="s">
        <v>40</v>
      </c>
      <c r="B62" s="10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4" x14ac:dyDescent="0.25">
      <c r="A63" s="9" t="s">
        <v>1021</v>
      </c>
      <c r="B63" s="10"/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/>
      <c r="J63" s="8">
        <v>0</v>
      </c>
      <c r="K63" s="8">
        <v>0</v>
      </c>
      <c r="L63" s="8">
        <v>0</v>
      </c>
    </row>
    <row r="64" spans="1:14" x14ac:dyDescent="0.25">
      <c r="A64" s="9"/>
      <c r="B64" s="10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3" t="s">
        <v>978</v>
      </c>
      <c r="B65" s="14" t="s">
        <v>811</v>
      </c>
      <c r="C65" s="15">
        <f t="shared" ref="C65:L65" si="15">SUM(C63:C64)</f>
        <v>0</v>
      </c>
      <c r="D65" s="15">
        <f t="shared" si="15"/>
        <v>0</v>
      </c>
      <c r="E65" s="15">
        <f t="shared" si="15"/>
        <v>0</v>
      </c>
      <c r="F65" s="15">
        <f t="shared" si="15"/>
        <v>0</v>
      </c>
      <c r="G65" s="15">
        <f t="shared" si="15"/>
        <v>0</v>
      </c>
      <c r="H65" s="15">
        <f t="shared" si="15"/>
        <v>0</v>
      </c>
      <c r="I65" s="15">
        <f t="shared" si="15"/>
        <v>0</v>
      </c>
      <c r="J65" s="15">
        <f t="shared" ref="J65:K65" si="16">SUM(J63:J64)</f>
        <v>0</v>
      </c>
      <c r="K65" s="15">
        <f t="shared" si="16"/>
        <v>0</v>
      </c>
      <c r="L65" s="15">
        <f t="shared" si="15"/>
        <v>0</v>
      </c>
    </row>
    <row r="66" spans="1:12" x14ac:dyDescent="0.25">
      <c r="B66" s="10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29" t="s">
        <v>1022</v>
      </c>
      <c r="B67" s="14"/>
      <c r="C67" s="15">
        <f t="shared" ref="C67:L67" si="17">SUM(C65,C60,C43,C25,C20,C17)</f>
        <v>1289000</v>
      </c>
      <c r="D67" s="15">
        <f t="shared" si="17"/>
        <v>4281000</v>
      </c>
      <c r="E67" s="15">
        <f t="shared" si="17"/>
        <v>10115000</v>
      </c>
      <c r="F67" s="15">
        <f t="shared" si="17"/>
        <v>9273000</v>
      </c>
      <c r="G67" s="15">
        <f t="shared" si="17"/>
        <v>9706000</v>
      </c>
      <c r="H67" s="15">
        <f t="shared" si="17"/>
        <v>29381000</v>
      </c>
      <c r="I67" s="15">
        <f t="shared" si="17"/>
        <v>10255500</v>
      </c>
      <c r="J67" s="15">
        <f t="shared" si="17"/>
        <v>6105000</v>
      </c>
      <c r="K67" s="15">
        <f t="shared" ref="K67" si="18">SUM(K65,K60,K43,K25,K20,K17)</f>
        <v>6025000</v>
      </c>
      <c r="L67" s="15">
        <f t="shared" si="17"/>
        <v>3249000</v>
      </c>
    </row>
    <row r="68" spans="1:12" x14ac:dyDescent="0.25"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C69" s="8"/>
      <c r="D69" s="8"/>
      <c r="E69" s="8"/>
      <c r="F69" s="8"/>
      <c r="G69" s="8"/>
      <c r="H69" s="8"/>
      <c r="I69" s="8"/>
      <c r="J69" s="8"/>
      <c r="K69" s="8"/>
      <c r="L69" s="8"/>
    </row>
  </sheetData>
  <pageMargins left="0.7" right="0.7" top="0.75" bottom="0.75" header="0.3" footer="0.3"/>
  <pageSetup scale="6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793C5-3E6A-43F8-A534-DA645544195A}">
  <sheetPr>
    <tabColor theme="4" tint="0.59999389629810485"/>
  </sheetPr>
  <dimension ref="A1:J95"/>
  <sheetViews>
    <sheetView zoomScaleNormal="100" workbookViewId="0">
      <pane ySplit="4" topLeftCell="A35" activePane="bottomLeft" state="frozen"/>
      <selection activeCell="G94" sqref="G94"/>
      <selection pane="bottomLeft" activeCell="G51" sqref="G51"/>
    </sheetView>
  </sheetViews>
  <sheetFormatPr defaultRowHeight="15" x14ac:dyDescent="0.25"/>
  <cols>
    <col min="1" max="1" width="11" style="1" bestFit="1" customWidth="1"/>
    <col min="2" max="2" width="32.42578125" style="1" bestFit="1" customWidth="1"/>
    <col min="3" max="3" width="15.5703125" style="1" bestFit="1" customWidth="1"/>
    <col min="4" max="8" width="16" style="1" bestFit="1" customWidth="1"/>
    <col min="9" max="9" width="13.28515625" style="1" bestFit="1" customWidth="1"/>
    <col min="10" max="10" width="144.28515625" style="1" bestFit="1" customWidth="1"/>
    <col min="11" max="16384" width="9.140625" style="1"/>
  </cols>
  <sheetData>
    <row r="1" spans="1:10" x14ac:dyDescent="0.25">
      <c r="A1" s="1" t="s">
        <v>32</v>
      </c>
      <c r="F1" s="162">
        <f>SUM(F6:F90)</f>
        <v>5289568.6875</v>
      </c>
      <c r="G1" s="162">
        <f>SUM(G6:G90)</f>
        <v>7263384.290000001</v>
      </c>
      <c r="H1" s="162">
        <f>SUM(H6:H90)</f>
        <v>10128858.367139</v>
      </c>
    </row>
    <row r="4" spans="1:10" s="6" customFormat="1" ht="15.75" x14ac:dyDescent="0.25">
      <c r="A4" s="65" t="s">
        <v>936</v>
      </c>
      <c r="B4" s="65" t="s">
        <v>937</v>
      </c>
      <c r="C4" s="66" t="s">
        <v>938</v>
      </c>
      <c r="D4" s="67" t="s">
        <v>939</v>
      </c>
      <c r="E4" s="67" t="s">
        <v>940</v>
      </c>
      <c r="F4" s="67" t="s">
        <v>941</v>
      </c>
      <c r="G4" s="67" t="s">
        <v>942</v>
      </c>
      <c r="H4" s="67" t="s">
        <v>943</v>
      </c>
      <c r="J4" s="1" t="s">
        <v>944</v>
      </c>
    </row>
    <row r="5" spans="1:10" x14ac:dyDescent="0.25">
      <c r="A5" s="68" t="s">
        <v>247</v>
      </c>
      <c r="B5" s="68" t="s">
        <v>248</v>
      </c>
      <c r="C5" s="69">
        <v>0</v>
      </c>
      <c r="D5" s="69">
        <v>0</v>
      </c>
      <c r="E5" s="69"/>
      <c r="F5" s="69"/>
      <c r="G5" s="69"/>
      <c r="H5" s="69"/>
      <c r="J5" s="70" t="s">
        <v>945</v>
      </c>
    </row>
    <row r="6" spans="1:10" x14ac:dyDescent="0.25">
      <c r="A6" s="68" t="s">
        <v>249</v>
      </c>
      <c r="B6" s="68" t="s">
        <v>250</v>
      </c>
      <c r="C6" s="74">
        <v>815780</v>
      </c>
      <c r="D6" s="74">
        <v>815780</v>
      </c>
      <c r="E6" s="74">
        <f>D6</f>
        <v>815780</v>
      </c>
      <c r="F6" s="74">
        <v>898000</v>
      </c>
      <c r="G6" s="74">
        <v>898000</v>
      </c>
      <c r="H6" s="74">
        <v>933078.32</v>
      </c>
      <c r="I6" s="162"/>
      <c r="J6" s="71" t="s">
        <v>946</v>
      </c>
    </row>
    <row r="7" spans="1:10" x14ac:dyDescent="0.25">
      <c r="A7" s="68" t="s">
        <v>251</v>
      </c>
      <c r="B7" s="68" t="s">
        <v>252</v>
      </c>
      <c r="C7" s="69">
        <v>107000</v>
      </c>
      <c r="D7" s="69">
        <v>107000</v>
      </c>
      <c r="E7" s="69">
        <f t="shared" ref="E7:E70" si="0">D7</f>
        <v>107000</v>
      </c>
      <c r="F7" s="69">
        <v>100000</v>
      </c>
      <c r="G7" s="69">
        <v>100000</v>
      </c>
      <c r="H7" s="69">
        <f>3605+51645</f>
        <v>55250</v>
      </c>
      <c r="I7" s="162"/>
      <c r="J7" s="72" t="s">
        <v>947</v>
      </c>
    </row>
    <row r="8" spans="1:10" x14ac:dyDescent="0.25">
      <c r="A8" s="68" t="s">
        <v>253</v>
      </c>
      <c r="B8" s="68" t="s">
        <v>254</v>
      </c>
      <c r="C8" s="69">
        <v>135000</v>
      </c>
      <c r="D8" s="69">
        <v>135000</v>
      </c>
      <c r="E8" s="69">
        <f t="shared" si="0"/>
        <v>135000</v>
      </c>
      <c r="F8" s="69">
        <v>140000</v>
      </c>
      <c r="G8" s="69">
        <v>140000</v>
      </c>
      <c r="H8" s="69">
        <v>156000</v>
      </c>
      <c r="I8" s="162"/>
      <c r="J8" s="31" t="s">
        <v>948</v>
      </c>
    </row>
    <row r="9" spans="1:10" x14ac:dyDescent="0.25">
      <c r="A9" s="68" t="s">
        <v>255</v>
      </c>
      <c r="B9" s="68" t="s">
        <v>256</v>
      </c>
      <c r="C9" s="74">
        <v>14000</v>
      </c>
      <c r="D9" s="74">
        <v>14000</v>
      </c>
      <c r="E9" s="74">
        <f t="shared" si="0"/>
        <v>14000</v>
      </c>
      <c r="F9" s="74">
        <v>14000</v>
      </c>
      <c r="G9" s="74">
        <v>14000</v>
      </c>
      <c r="H9" s="74">
        <v>9000</v>
      </c>
      <c r="I9" s="162"/>
    </row>
    <row r="10" spans="1:10" x14ac:dyDescent="0.25">
      <c r="A10" s="68" t="s">
        <v>257</v>
      </c>
      <c r="B10" s="68" t="s">
        <v>99</v>
      </c>
      <c r="C10" s="69">
        <v>1300</v>
      </c>
      <c r="D10" s="69">
        <v>1300</v>
      </c>
      <c r="E10" s="69">
        <f t="shared" si="0"/>
        <v>1300</v>
      </c>
      <c r="F10" s="69">
        <v>1300</v>
      </c>
      <c r="G10" s="69">
        <v>1300</v>
      </c>
      <c r="H10" s="69">
        <v>1300</v>
      </c>
      <c r="I10" s="162"/>
    </row>
    <row r="11" spans="1:10" x14ac:dyDescent="0.25">
      <c r="A11" s="68" t="s">
        <v>258</v>
      </c>
      <c r="B11" s="68" t="s">
        <v>259</v>
      </c>
      <c r="C11" s="74">
        <v>85000</v>
      </c>
      <c r="D11" s="74">
        <v>85000</v>
      </c>
      <c r="E11" s="74">
        <f t="shared" si="0"/>
        <v>85000</v>
      </c>
      <c r="F11" s="74">
        <v>85000</v>
      </c>
      <c r="G11" s="74">
        <v>85000</v>
      </c>
      <c r="H11" s="74">
        <v>85000</v>
      </c>
      <c r="I11" s="162"/>
    </row>
    <row r="12" spans="1:10" x14ac:dyDescent="0.25">
      <c r="A12" s="68" t="s">
        <v>260</v>
      </c>
      <c r="B12" s="68" t="s">
        <v>261</v>
      </c>
      <c r="C12" s="69">
        <v>25000</v>
      </c>
      <c r="D12" s="69">
        <v>25000</v>
      </c>
      <c r="E12" s="69">
        <f t="shared" si="0"/>
        <v>25000</v>
      </c>
      <c r="F12" s="69">
        <v>25000</v>
      </c>
      <c r="G12" s="69">
        <v>25000</v>
      </c>
      <c r="H12" s="69">
        <v>31000</v>
      </c>
      <c r="I12" s="162"/>
    </row>
    <row r="13" spans="1:10" x14ac:dyDescent="0.25">
      <c r="A13" s="68" t="s">
        <v>262</v>
      </c>
      <c r="B13" s="68" t="s">
        <v>263</v>
      </c>
      <c r="C13" s="69">
        <v>15000</v>
      </c>
      <c r="D13" s="69">
        <v>15000</v>
      </c>
      <c r="E13" s="69">
        <f t="shared" si="0"/>
        <v>15000</v>
      </c>
      <c r="F13" s="69">
        <v>15000</v>
      </c>
      <c r="G13" s="69">
        <v>15000</v>
      </c>
      <c r="H13" s="69">
        <v>15000</v>
      </c>
      <c r="I13" s="162"/>
    </row>
    <row r="14" spans="1:10" x14ac:dyDescent="0.25">
      <c r="A14" s="68" t="s">
        <v>264</v>
      </c>
      <c r="B14" s="68" t="s">
        <v>265</v>
      </c>
      <c r="C14" s="69">
        <v>80000</v>
      </c>
      <c r="D14" s="69">
        <v>80000</v>
      </c>
      <c r="E14" s="69">
        <f t="shared" si="0"/>
        <v>80000</v>
      </c>
      <c r="F14" s="69">
        <v>80000</v>
      </c>
      <c r="G14" s="69">
        <v>88000</v>
      </c>
      <c r="H14" s="69">
        <v>100000</v>
      </c>
      <c r="I14" s="162"/>
    </row>
    <row r="15" spans="1:10" x14ac:dyDescent="0.25">
      <c r="A15" s="68" t="s">
        <v>266</v>
      </c>
      <c r="B15" s="68" t="s">
        <v>267</v>
      </c>
      <c r="C15" s="69">
        <v>0</v>
      </c>
      <c r="D15" s="73">
        <v>0</v>
      </c>
      <c r="E15" s="73">
        <f t="shared" si="0"/>
        <v>0</v>
      </c>
      <c r="F15" s="73">
        <v>0</v>
      </c>
      <c r="G15" s="73">
        <v>0</v>
      </c>
      <c r="H15" s="73">
        <v>0</v>
      </c>
      <c r="I15" s="162"/>
    </row>
    <row r="16" spans="1:10" x14ac:dyDescent="0.25">
      <c r="A16" s="196" t="s">
        <v>268</v>
      </c>
      <c r="B16" s="196" t="s">
        <v>101</v>
      </c>
      <c r="C16" s="197">
        <v>652549.87</v>
      </c>
      <c r="D16" s="198">
        <v>652549.87</v>
      </c>
      <c r="E16" s="198">
        <f>D16</f>
        <v>652549.87</v>
      </c>
      <c r="F16" s="198">
        <f>_xlfn.XLOOKUP(A16,'2026 Salaries and Benefits'!$B$9:$G$9,'2026 Salaries and Benefits'!$B$22:$G$22,0)</f>
        <v>821625</v>
      </c>
      <c r="G16" s="199">
        <v>821625</v>
      </c>
      <c r="H16" s="198">
        <f>_xlfn.XLOOKUP(A16,'2027 Salaries and Benefits'!B9,'2027 Salaries and Benefits'!B19,0)</f>
        <v>752263.28600000008</v>
      </c>
      <c r="I16" s="162"/>
    </row>
    <row r="17" spans="1:9" x14ac:dyDescent="0.25">
      <c r="A17" s="196" t="s">
        <v>269</v>
      </c>
      <c r="B17" s="196" t="s">
        <v>104</v>
      </c>
      <c r="C17" s="197">
        <v>49920.06</v>
      </c>
      <c r="D17" s="198">
        <v>49920.06</v>
      </c>
      <c r="E17" s="198">
        <f t="shared" ref="E17:E20" si="1">D17</f>
        <v>49920.06</v>
      </c>
      <c r="F17" s="198">
        <f>_xlfn.XLOOKUP(A17,'2026 Salaries and Benefits'!$B$9:$G$9,'2026 Salaries and Benefits'!$B$22:$G$22,0)</f>
        <v>62854.312500000007</v>
      </c>
      <c r="G17" s="199">
        <v>62854.31</v>
      </c>
      <c r="H17" s="198">
        <f>_xlfn.XLOOKUP(A17,'2027 Salaries and Benefits'!C9,'2027 Salaries and Benefits'!C19,)</f>
        <v>57548.141378999993</v>
      </c>
      <c r="I17" s="162"/>
    </row>
    <row r="18" spans="1:9" x14ac:dyDescent="0.25">
      <c r="A18" s="196" t="s">
        <v>270</v>
      </c>
      <c r="B18" s="196" t="s">
        <v>106</v>
      </c>
      <c r="C18" s="197">
        <v>101623.32</v>
      </c>
      <c r="D18" s="198">
        <v>101623.32</v>
      </c>
      <c r="E18" s="199">
        <v>154731.20000000001</v>
      </c>
      <c r="F18" s="198">
        <f>_xlfn.XLOOKUP(A18,'2026 Salaries and Benefits'!$B$9:$G$9,'2026 Salaries and Benefits'!$B$22:$G$22,0)</f>
        <v>125685</v>
      </c>
      <c r="G18" s="199">
        <f>F18+32000</f>
        <v>157685</v>
      </c>
      <c r="H18" s="198">
        <f>_xlfn.XLOOKUP(A18,'2027 Salaries and Benefits'!D9,'2027 Salaries and Benefits'!D19,0)</f>
        <v>98664.842199999999</v>
      </c>
      <c r="I18" s="162"/>
    </row>
    <row r="19" spans="1:9" x14ac:dyDescent="0.25">
      <c r="A19" s="196" t="s">
        <v>271</v>
      </c>
      <c r="B19" s="196" t="s">
        <v>108</v>
      </c>
      <c r="C19" s="197">
        <v>178874.61</v>
      </c>
      <c r="D19" s="198">
        <v>178874.61</v>
      </c>
      <c r="E19" s="198">
        <f t="shared" si="1"/>
        <v>178874.61</v>
      </c>
      <c r="F19" s="198">
        <f>_xlfn.XLOOKUP(A19,'2026 Salaries and Benefits'!$B$9:$G$9,'2026 Salaries and Benefits'!$B$22:$G$22,0)</f>
        <v>277457.47499999998</v>
      </c>
      <c r="G19" s="199">
        <v>277457.48</v>
      </c>
      <c r="H19" s="198">
        <f>_xlfn.XLOOKUP(A19,'2027 Salaries and Benefits'!E9,'2027 Salaries and Benefits'!E19,0)</f>
        <v>183789.54084</v>
      </c>
      <c r="I19" s="162"/>
    </row>
    <row r="20" spans="1:9" x14ac:dyDescent="0.25">
      <c r="A20" s="196" t="s">
        <v>272</v>
      </c>
      <c r="B20" s="196" t="s">
        <v>110</v>
      </c>
      <c r="C20" s="197">
        <v>17162.060000000001</v>
      </c>
      <c r="D20" s="197">
        <v>17162.060000000001</v>
      </c>
      <c r="E20" s="198">
        <f t="shared" si="1"/>
        <v>17162.060000000001</v>
      </c>
      <c r="F20" s="198">
        <f>_xlfn.XLOOKUP(A20,'2026 Salaries and Benefits'!$B$9:$G$9,'2026 Salaries and Benefits'!$B$22:$G$22,0)</f>
        <v>16432.5</v>
      </c>
      <c r="G20" s="199">
        <v>16432.5</v>
      </c>
      <c r="H20" s="198">
        <f>'2027 Salaries and Benefits'!F19</f>
        <v>15045.265719999999</v>
      </c>
      <c r="I20" s="162"/>
    </row>
    <row r="21" spans="1:9" x14ac:dyDescent="0.25">
      <c r="A21" s="196" t="s">
        <v>273</v>
      </c>
      <c r="B21" s="196" t="s">
        <v>112</v>
      </c>
      <c r="C21" s="197">
        <v>39000</v>
      </c>
      <c r="D21" s="198">
        <v>39000</v>
      </c>
      <c r="E21" s="198">
        <v>0</v>
      </c>
      <c r="F21" s="198"/>
      <c r="G21" s="198"/>
      <c r="H21" s="198"/>
      <c r="I21" s="162"/>
    </row>
    <row r="22" spans="1:9" x14ac:dyDescent="0.25">
      <c r="A22" s="196" t="s">
        <v>274</v>
      </c>
      <c r="B22" s="196" t="s">
        <v>114</v>
      </c>
      <c r="C22" s="197">
        <v>130</v>
      </c>
      <c r="D22" s="197">
        <v>130</v>
      </c>
      <c r="E22" s="199">
        <v>57</v>
      </c>
      <c r="F22" s="198">
        <f>_xlfn.XLOOKUP(A22,'2026 Salaries and Benefits'!$B$9:$G$9,'2026 Salaries and Benefits'!$B$22:$G$22,0)</f>
        <v>38.400000000000006</v>
      </c>
      <c r="G22" s="199">
        <v>100</v>
      </c>
      <c r="H22" s="198">
        <f>'2027 Salaries and Benefits'!G19</f>
        <v>38.400000000000006</v>
      </c>
      <c r="I22" s="162"/>
    </row>
    <row r="23" spans="1:9" x14ac:dyDescent="0.25">
      <c r="A23" s="160" t="s">
        <v>275</v>
      </c>
      <c r="B23" s="160" t="s">
        <v>276</v>
      </c>
      <c r="C23" s="161">
        <v>5000</v>
      </c>
      <c r="D23" s="161">
        <v>5000</v>
      </c>
      <c r="E23" s="161">
        <f t="shared" si="0"/>
        <v>5000</v>
      </c>
      <c r="F23" s="161">
        <v>5000</v>
      </c>
      <c r="G23" s="161">
        <v>2000</v>
      </c>
      <c r="H23" s="161">
        <v>5000</v>
      </c>
      <c r="I23" s="162"/>
    </row>
    <row r="24" spans="1:9" x14ac:dyDescent="0.25">
      <c r="A24" s="68" t="s">
        <v>277</v>
      </c>
      <c r="B24" s="68" t="s">
        <v>278</v>
      </c>
      <c r="C24" s="69">
        <v>0</v>
      </c>
      <c r="D24" s="69">
        <v>0</v>
      </c>
      <c r="E24" s="69">
        <v>6425</v>
      </c>
      <c r="F24" s="69">
        <v>0</v>
      </c>
      <c r="G24" s="69">
        <v>3500</v>
      </c>
      <c r="H24" s="69">
        <v>3500</v>
      </c>
      <c r="I24" s="162"/>
    </row>
    <row r="25" spans="1:9" x14ac:dyDescent="0.25">
      <c r="A25" s="68" t="s">
        <v>279</v>
      </c>
      <c r="B25" s="68" t="s">
        <v>280</v>
      </c>
      <c r="C25" s="74">
        <v>20000</v>
      </c>
      <c r="D25" s="74">
        <v>20000</v>
      </c>
      <c r="E25" s="74">
        <f t="shared" si="0"/>
        <v>20000</v>
      </c>
      <c r="F25" s="74">
        <v>20000</v>
      </c>
      <c r="G25" s="74">
        <v>20000</v>
      </c>
      <c r="H25" s="74">
        <v>20000</v>
      </c>
      <c r="I25" s="162"/>
    </row>
    <row r="26" spans="1:9" x14ac:dyDescent="0.25">
      <c r="A26" s="68" t="s">
        <v>281</v>
      </c>
      <c r="B26" s="68" t="s">
        <v>282</v>
      </c>
      <c r="C26" s="69">
        <v>21000</v>
      </c>
      <c r="D26" s="69">
        <v>21000</v>
      </c>
      <c r="E26" s="69">
        <f t="shared" si="0"/>
        <v>21000</v>
      </c>
      <c r="F26" s="69">
        <v>25000</v>
      </c>
      <c r="G26" s="69">
        <v>25000</v>
      </c>
      <c r="H26" s="69">
        <v>25000</v>
      </c>
      <c r="I26" s="162"/>
    </row>
    <row r="27" spans="1:9" x14ac:dyDescent="0.25">
      <c r="A27" s="68" t="s">
        <v>283</v>
      </c>
      <c r="B27" s="68" t="s">
        <v>120</v>
      </c>
      <c r="C27" s="69">
        <v>24000</v>
      </c>
      <c r="D27" s="69">
        <v>24000</v>
      </c>
      <c r="E27" s="69">
        <v>28000</v>
      </c>
      <c r="F27" s="69">
        <v>20000</v>
      </c>
      <c r="G27" s="69">
        <v>45000</v>
      </c>
      <c r="H27" s="69">
        <v>35000</v>
      </c>
      <c r="I27" s="162"/>
    </row>
    <row r="28" spans="1:9" x14ac:dyDescent="0.25">
      <c r="A28" s="68" t="s">
        <v>284</v>
      </c>
      <c r="B28" s="68" t="s">
        <v>124</v>
      </c>
      <c r="C28" s="69">
        <v>7500</v>
      </c>
      <c r="D28" s="69">
        <v>7500</v>
      </c>
      <c r="E28" s="69">
        <v>17000</v>
      </c>
      <c r="F28" s="69">
        <v>17000</v>
      </c>
      <c r="G28" s="69">
        <v>17000</v>
      </c>
      <c r="H28" s="69">
        <v>17000</v>
      </c>
      <c r="I28" s="162"/>
    </row>
    <row r="29" spans="1:9" x14ac:dyDescent="0.25">
      <c r="A29" s="68" t="s">
        <v>285</v>
      </c>
      <c r="B29" s="68" t="s">
        <v>126</v>
      </c>
      <c r="C29" s="74">
        <v>5000</v>
      </c>
      <c r="D29" s="74">
        <v>5000</v>
      </c>
      <c r="E29" s="74">
        <f t="shared" si="0"/>
        <v>5000</v>
      </c>
      <c r="F29" s="74">
        <v>8000</v>
      </c>
      <c r="G29" s="74">
        <v>8000</v>
      </c>
      <c r="H29" s="74">
        <v>8000</v>
      </c>
      <c r="I29" s="162"/>
    </row>
    <row r="30" spans="1:9" x14ac:dyDescent="0.25">
      <c r="A30" s="68" t="s">
        <v>286</v>
      </c>
      <c r="B30" s="68" t="s">
        <v>287</v>
      </c>
      <c r="C30" s="69">
        <v>4600</v>
      </c>
      <c r="D30" s="69">
        <v>4600</v>
      </c>
      <c r="E30" s="69">
        <v>7000</v>
      </c>
      <c r="F30" s="69">
        <v>4500</v>
      </c>
      <c r="G30" s="69">
        <v>4700</v>
      </c>
      <c r="H30" s="69">
        <v>4700</v>
      </c>
      <c r="I30" s="162"/>
    </row>
    <row r="31" spans="1:9" x14ac:dyDescent="0.25">
      <c r="A31" s="68" t="s">
        <v>288</v>
      </c>
      <c r="B31" s="68" t="s">
        <v>130</v>
      </c>
      <c r="C31" s="74">
        <v>35000</v>
      </c>
      <c r="D31" s="74">
        <v>35000</v>
      </c>
      <c r="E31" s="74">
        <f t="shared" si="0"/>
        <v>35000</v>
      </c>
      <c r="F31" s="74">
        <v>35000</v>
      </c>
      <c r="G31" s="74">
        <v>35000</v>
      </c>
      <c r="H31" s="74">
        <v>35000</v>
      </c>
      <c r="I31" s="162"/>
    </row>
    <row r="32" spans="1:9" x14ac:dyDescent="0.25">
      <c r="A32" s="68" t="s">
        <v>289</v>
      </c>
      <c r="B32" s="68" t="s">
        <v>132</v>
      </c>
      <c r="C32" s="69">
        <v>8000</v>
      </c>
      <c r="D32" s="69">
        <v>8000</v>
      </c>
      <c r="E32" s="69">
        <v>10000</v>
      </c>
      <c r="F32" s="69">
        <v>10000</v>
      </c>
      <c r="G32" s="69">
        <v>10000</v>
      </c>
      <c r="H32" s="69">
        <v>10000</v>
      </c>
      <c r="I32" s="162"/>
    </row>
    <row r="33" spans="1:10" x14ac:dyDescent="0.25">
      <c r="A33" s="68" t="s">
        <v>290</v>
      </c>
      <c r="B33" s="68" t="s">
        <v>291</v>
      </c>
      <c r="C33" s="69">
        <v>250</v>
      </c>
      <c r="D33" s="69">
        <v>250</v>
      </c>
      <c r="E33" s="69">
        <f t="shared" si="0"/>
        <v>250</v>
      </c>
      <c r="F33" s="69">
        <v>250</v>
      </c>
      <c r="G33" s="69">
        <v>250</v>
      </c>
      <c r="H33" s="69">
        <v>250</v>
      </c>
      <c r="I33" s="162"/>
    </row>
    <row r="34" spans="1:10" x14ac:dyDescent="0.25">
      <c r="A34" s="160" t="s">
        <v>292</v>
      </c>
      <c r="B34" s="160" t="s">
        <v>293</v>
      </c>
      <c r="C34" s="161">
        <v>500</v>
      </c>
      <c r="D34" s="161">
        <v>500</v>
      </c>
      <c r="E34" s="161">
        <f t="shared" si="0"/>
        <v>500</v>
      </c>
      <c r="F34" s="161">
        <v>500</v>
      </c>
      <c r="G34" s="161">
        <v>758.24</v>
      </c>
      <c r="H34" s="161">
        <v>800</v>
      </c>
      <c r="I34" s="162"/>
    </row>
    <row r="35" spans="1:10" x14ac:dyDescent="0.25">
      <c r="A35" s="68" t="s">
        <v>294</v>
      </c>
      <c r="B35" s="68" t="s">
        <v>295</v>
      </c>
      <c r="C35" s="74">
        <v>0</v>
      </c>
      <c r="D35" s="74">
        <v>0</v>
      </c>
      <c r="E35" s="74">
        <f t="shared" si="0"/>
        <v>0</v>
      </c>
      <c r="F35" s="74">
        <v>0</v>
      </c>
      <c r="G35" s="74">
        <v>10000</v>
      </c>
      <c r="H35" s="74">
        <v>0</v>
      </c>
      <c r="I35" s="162"/>
    </row>
    <row r="36" spans="1:10" x14ac:dyDescent="0.25">
      <c r="A36" s="68" t="s">
        <v>296</v>
      </c>
      <c r="B36" s="68" t="s">
        <v>297</v>
      </c>
      <c r="C36" s="74">
        <v>8000</v>
      </c>
      <c r="D36" s="74">
        <v>8000</v>
      </c>
      <c r="E36" s="74">
        <f t="shared" si="0"/>
        <v>8000</v>
      </c>
      <c r="F36" s="74">
        <v>8000</v>
      </c>
      <c r="G36" s="74">
        <v>10798.38</v>
      </c>
      <c r="H36" s="74">
        <v>11000</v>
      </c>
      <c r="I36" s="162"/>
    </row>
    <row r="37" spans="1:10" x14ac:dyDescent="0.25">
      <c r="A37" s="68" t="s">
        <v>298</v>
      </c>
      <c r="B37" s="68" t="s">
        <v>299</v>
      </c>
      <c r="C37" s="69">
        <v>0</v>
      </c>
      <c r="D37" s="69">
        <v>0</v>
      </c>
      <c r="E37" s="69">
        <f t="shared" si="0"/>
        <v>0</v>
      </c>
      <c r="F37" s="69">
        <v>0</v>
      </c>
      <c r="G37" s="69">
        <v>0</v>
      </c>
      <c r="H37" s="69">
        <v>0</v>
      </c>
      <c r="I37" s="162"/>
    </row>
    <row r="38" spans="1:10" x14ac:dyDescent="0.25">
      <c r="A38" s="68" t="s">
        <v>300</v>
      </c>
      <c r="B38" s="68" t="s">
        <v>301</v>
      </c>
      <c r="C38" s="69">
        <v>4500</v>
      </c>
      <c r="D38" s="69">
        <v>4500</v>
      </c>
      <c r="E38" s="69">
        <f t="shared" si="0"/>
        <v>4500</v>
      </c>
      <c r="F38" s="69">
        <v>4500</v>
      </c>
      <c r="G38" s="69">
        <v>2894.4</v>
      </c>
      <c r="H38" s="69">
        <v>3000</v>
      </c>
      <c r="I38" s="162"/>
    </row>
    <row r="39" spans="1:10" x14ac:dyDescent="0.25">
      <c r="A39" s="68" t="s">
        <v>302</v>
      </c>
      <c r="B39" s="68" t="s">
        <v>303</v>
      </c>
      <c r="C39" s="74">
        <v>20000</v>
      </c>
      <c r="D39" s="74">
        <v>20000</v>
      </c>
      <c r="E39" s="74">
        <v>40000</v>
      </c>
      <c r="F39" s="74">
        <v>20000</v>
      </c>
      <c r="G39" s="74">
        <v>25000</v>
      </c>
      <c r="H39" s="74">
        <v>25000</v>
      </c>
      <c r="I39" s="162"/>
    </row>
    <row r="40" spans="1:10" x14ac:dyDescent="0.25">
      <c r="A40" s="68" t="s">
        <v>304</v>
      </c>
      <c r="B40" s="68" t="s">
        <v>305</v>
      </c>
      <c r="C40" s="69">
        <v>0</v>
      </c>
      <c r="D40" s="69">
        <v>0</v>
      </c>
      <c r="E40" s="69">
        <f t="shared" si="0"/>
        <v>0</v>
      </c>
      <c r="F40" s="69">
        <v>0</v>
      </c>
      <c r="G40" s="69">
        <v>0</v>
      </c>
      <c r="H40" s="69">
        <v>0</v>
      </c>
      <c r="I40" s="162"/>
    </row>
    <row r="41" spans="1:10" x14ac:dyDescent="0.25">
      <c r="A41" s="68" t="s">
        <v>306</v>
      </c>
      <c r="B41" s="68" t="s">
        <v>307</v>
      </c>
      <c r="C41" s="69">
        <v>1500</v>
      </c>
      <c r="D41" s="69">
        <v>1500</v>
      </c>
      <c r="E41" s="69">
        <f t="shared" si="0"/>
        <v>1500</v>
      </c>
      <c r="F41" s="69">
        <v>5500</v>
      </c>
      <c r="G41" s="69">
        <v>5500</v>
      </c>
      <c r="H41" s="69">
        <v>5500</v>
      </c>
      <c r="I41" s="162"/>
    </row>
    <row r="42" spans="1:10" x14ac:dyDescent="0.25">
      <c r="A42" s="68" t="s">
        <v>308</v>
      </c>
      <c r="B42" s="68" t="s">
        <v>309</v>
      </c>
      <c r="C42" s="69">
        <v>25000</v>
      </c>
      <c r="D42" s="69">
        <v>25000</v>
      </c>
      <c r="E42" s="69">
        <f t="shared" si="0"/>
        <v>25000</v>
      </c>
      <c r="F42" s="69">
        <v>25000</v>
      </c>
      <c r="G42" s="69">
        <v>25000</v>
      </c>
      <c r="H42" s="69">
        <v>20000</v>
      </c>
      <c r="I42" s="162"/>
    </row>
    <row r="43" spans="1:10" x14ac:dyDescent="0.25">
      <c r="A43" s="68" t="s">
        <v>310</v>
      </c>
      <c r="B43" s="68" t="s">
        <v>311</v>
      </c>
      <c r="C43" s="69">
        <v>8000</v>
      </c>
      <c r="D43" s="69">
        <v>8000</v>
      </c>
      <c r="E43" s="69">
        <f t="shared" si="0"/>
        <v>8000</v>
      </c>
      <c r="F43" s="69">
        <v>8000</v>
      </c>
      <c r="G43" s="69">
        <v>8000</v>
      </c>
      <c r="H43" s="69">
        <v>8500</v>
      </c>
      <c r="I43" s="162"/>
    </row>
    <row r="44" spans="1:10" x14ac:dyDescent="0.25">
      <c r="A44" s="68" t="s">
        <v>312</v>
      </c>
      <c r="B44" s="68" t="s">
        <v>313</v>
      </c>
      <c r="C44" s="74">
        <v>10000</v>
      </c>
      <c r="D44" s="74">
        <v>10000</v>
      </c>
      <c r="E44" s="74">
        <f t="shared" si="0"/>
        <v>10000</v>
      </c>
      <c r="F44" s="74">
        <v>20000</v>
      </c>
      <c r="G44" s="74">
        <v>12570</v>
      </c>
      <c r="H44" s="74">
        <v>15000</v>
      </c>
      <c r="I44" s="162"/>
    </row>
    <row r="45" spans="1:10" x14ac:dyDescent="0.25">
      <c r="A45" s="68" t="s">
        <v>314</v>
      </c>
      <c r="B45" s="68" t="s">
        <v>315</v>
      </c>
      <c r="C45" s="69">
        <v>0</v>
      </c>
      <c r="D45" s="69">
        <v>0</v>
      </c>
      <c r="E45" s="69">
        <f t="shared" si="0"/>
        <v>0</v>
      </c>
      <c r="F45" s="69">
        <v>0</v>
      </c>
      <c r="G45" s="69">
        <v>0</v>
      </c>
      <c r="H45" s="69">
        <v>0</v>
      </c>
      <c r="I45" s="162"/>
    </row>
    <row r="46" spans="1:10" x14ac:dyDescent="0.25">
      <c r="A46" s="68" t="s">
        <v>316</v>
      </c>
      <c r="B46" s="68" t="s">
        <v>317</v>
      </c>
      <c r="C46" s="69">
        <v>12531</v>
      </c>
      <c r="D46" s="69">
        <v>12531</v>
      </c>
      <c r="E46" s="69">
        <f t="shared" si="0"/>
        <v>12531</v>
      </c>
      <c r="F46" s="69">
        <v>12531</v>
      </c>
      <c r="G46" s="69">
        <v>24470.49</v>
      </c>
      <c r="H46" s="69">
        <v>24470.49</v>
      </c>
      <c r="I46" s="162"/>
      <c r="J46" s="1" t="s">
        <v>949</v>
      </c>
    </row>
    <row r="47" spans="1:10" x14ac:dyDescent="0.25">
      <c r="A47" s="68" t="s">
        <v>318</v>
      </c>
      <c r="B47" s="68" t="s">
        <v>319</v>
      </c>
      <c r="C47" s="69">
        <v>0</v>
      </c>
      <c r="D47" s="69">
        <v>0</v>
      </c>
      <c r="E47" s="69">
        <f t="shared" si="0"/>
        <v>0</v>
      </c>
      <c r="F47" s="69">
        <v>0</v>
      </c>
      <c r="G47" s="69">
        <v>0</v>
      </c>
      <c r="H47" s="69">
        <v>0</v>
      </c>
      <c r="I47" s="162"/>
    </row>
    <row r="48" spans="1:10" x14ac:dyDescent="0.25">
      <c r="A48" s="68" t="s">
        <v>320</v>
      </c>
      <c r="B48" s="68" t="s">
        <v>244</v>
      </c>
      <c r="C48" s="69">
        <v>6600</v>
      </c>
      <c r="D48" s="69">
        <v>6600</v>
      </c>
      <c r="E48" s="69">
        <f t="shared" si="0"/>
        <v>6600</v>
      </c>
      <c r="F48" s="69">
        <v>0</v>
      </c>
      <c r="G48" s="69">
        <v>0</v>
      </c>
      <c r="H48" s="69">
        <v>0</v>
      </c>
      <c r="I48" s="162"/>
    </row>
    <row r="49" spans="1:9" x14ac:dyDescent="0.25">
      <c r="A49" s="68" t="s">
        <v>321</v>
      </c>
      <c r="B49" s="68" t="s">
        <v>322</v>
      </c>
      <c r="C49" s="69">
        <v>6500</v>
      </c>
      <c r="D49" s="69">
        <v>6500</v>
      </c>
      <c r="E49" s="69">
        <f t="shared" si="0"/>
        <v>6500</v>
      </c>
      <c r="F49" s="69">
        <v>0</v>
      </c>
      <c r="G49" s="69">
        <v>0</v>
      </c>
      <c r="H49" s="69">
        <v>0</v>
      </c>
      <c r="I49" s="162"/>
    </row>
    <row r="50" spans="1:9" x14ac:dyDescent="0.25">
      <c r="A50" s="68" t="s">
        <v>323</v>
      </c>
      <c r="B50" s="68" t="s">
        <v>240</v>
      </c>
      <c r="C50" s="69">
        <v>0</v>
      </c>
      <c r="D50" s="69">
        <v>0</v>
      </c>
      <c r="E50" s="69">
        <f t="shared" si="0"/>
        <v>0</v>
      </c>
      <c r="F50" s="69">
        <v>0</v>
      </c>
      <c r="G50" s="69">
        <f>_xlfn.XLOOKUP($A50,'Debt Summary'!$A$33:$A$38,'Debt Summary'!$E$33:$E$38,0)</f>
        <v>20552</v>
      </c>
      <c r="H50" s="69">
        <f>_xlfn.XLOOKUP($A50,'Debt Summary'!$A$33:$A$38,'Debt Summary'!$F$33:$F$38,0)</f>
        <v>21531.4</v>
      </c>
      <c r="I50" s="162"/>
    </row>
    <row r="51" spans="1:9" x14ac:dyDescent="0.25">
      <c r="A51" s="68" t="s">
        <v>324</v>
      </c>
      <c r="B51" s="68" t="s">
        <v>325</v>
      </c>
      <c r="C51" s="69">
        <v>9000</v>
      </c>
      <c r="D51" s="69">
        <v>9000</v>
      </c>
      <c r="E51" s="69">
        <f t="shared" si="0"/>
        <v>9000</v>
      </c>
      <c r="F51" s="69">
        <v>9000</v>
      </c>
      <c r="G51" s="69">
        <f>_xlfn.XLOOKUP($A51,'Debt Summary'!$A$33:$A$38,'Debt Summary'!$E$33:$E$38,0)</f>
        <v>3918.4900000000002</v>
      </c>
      <c r="H51" s="69">
        <f>_xlfn.XLOOKUP($A51,'Debt Summary'!$A$33:$A$38,'Debt Summary'!$F$33:$F$38,0)</f>
        <v>2939.1</v>
      </c>
      <c r="I51" s="162"/>
    </row>
    <row r="52" spans="1:9" x14ac:dyDescent="0.25">
      <c r="A52" s="68" t="s">
        <v>326</v>
      </c>
      <c r="B52" s="68" t="s">
        <v>327</v>
      </c>
      <c r="C52" s="69">
        <v>11000</v>
      </c>
      <c r="D52" s="69">
        <v>11000</v>
      </c>
      <c r="E52" s="69">
        <v>11500</v>
      </c>
      <c r="F52" s="69">
        <v>11500</v>
      </c>
      <c r="G52" s="69">
        <v>11500</v>
      </c>
      <c r="H52" s="69">
        <v>11500</v>
      </c>
      <c r="I52" s="162"/>
    </row>
    <row r="53" spans="1:9" x14ac:dyDescent="0.25">
      <c r="A53" s="68" t="s">
        <v>328</v>
      </c>
      <c r="B53" s="68" t="s">
        <v>329</v>
      </c>
      <c r="C53" s="69">
        <v>4500</v>
      </c>
      <c r="D53" s="69">
        <v>4500</v>
      </c>
      <c r="E53" s="69">
        <f t="shared" si="0"/>
        <v>4500</v>
      </c>
      <c r="F53" s="69">
        <v>4500</v>
      </c>
      <c r="G53" s="69">
        <v>4500</v>
      </c>
      <c r="H53" s="69">
        <v>4500</v>
      </c>
      <c r="I53" s="162"/>
    </row>
    <row r="54" spans="1:9" x14ac:dyDescent="0.25">
      <c r="A54" s="68" t="s">
        <v>330</v>
      </c>
      <c r="B54" s="68" t="s">
        <v>331</v>
      </c>
      <c r="C54" s="69">
        <v>9300</v>
      </c>
      <c r="D54" s="69">
        <v>9300</v>
      </c>
      <c r="E54" s="69">
        <v>9500</v>
      </c>
      <c r="F54" s="69">
        <v>11000</v>
      </c>
      <c r="G54" s="69">
        <v>11000</v>
      </c>
      <c r="H54" s="69">
        <v>11000</v>
      </c>
      <c r="I54" s="162"/>
    </row>
    <row r="55" spans="1:9" x14ac:dyDescent="0.25">
      <c r="A55" s="68" t="s">
        <v>332</v>
      </c>
      <c r="B55" s="68" t="s">
        <v>333</v>
      </c>
      <c r="C55" s="74">
        <v>5000</v>
      </c>
      <c r="D55" s="75">
        <v>5000</v>
      </c>
      <c r="E55" s="75">
        <f t="shared" si="0"/>
        <v>5000</v>
      </c>
      <c r="F55" s="75">
        <v>2000</v>
      </c>
      <c r="G55" s="75">
        <v>2000</v>
      </c>
      <c r="H55" s="75">
        <v>2000</v>
      </c>
      <c r="I55" s="162"/>
    </row>
    <row r="56" spans="1:9" x14ac:dyDescent="0.25">
      <c r="A56" s="68" t="s">
        <v>334</v>
      </c>
      <c r="B56" s="68" t="s">
        <v>335</v>
      </c>
      <c r="C56" s="69">
        <v>2000</v>
      </c>
      <c r="D56" s="69">
        <v>2000</v>
      </c>
      <c r="E56" s="69">
        <v>1000</v>
      </c>
      <c r="F56" s="69">
        <v>2000</v>
      </c>
      <c r="G56" s="69">
        <v>2000</v>
      </c>
      <c r="H56" s="69">
        <v>2000</v>
      </c>
      <c r="I56" s="162"/>
    </row>
    <row r="57" spans="1:9" x14ac:dyDescent="0.25">
      <c r="A57" s="68" t="s">
        <v>336</v>
      </c>
      <c r="B57" s="68" t="s">
        <v>337</v>
      </c>
      <c r="C57" s="69">
        <v>2400</v>
      </c>
      <c r="D57" s="69">
        <v>2400</v>
      </c>
      <c r="E57" s="69">
        <v>1200</v>
      </c>
      <c r="F57" s="69">
        <v>1000</v>
      </c>
      <c r="G57" s="69">
        <v>5000</v>
      </c>
      <c r="H57" s="69">
        <v>2500</v>
      </c>
      <c r="I57" s="162"/>
    </row>
    <row r="58" spans="1:9" x14ac:dyDescent="0.25">
      <c r="A58" s="118" t="s">
        <v>338</v>
      </c>
      <c r="B58" s="118" t="s">
        <v>339</v>
      </c>
      <c r="C58" s="119">
        <v>0</v>
      </c>
      <c r="D58" s="119">
        <v>0</v>
      </c>
      <c r="E58" s="119">
        <f t="shared" si="0"/>
        <v>0</v>
      </c>
      <c r="F58" s="119">
        <v>0</v>
      </c>
      <c r="G58" s="119">
        <v>0</v>
      </c>
      <c r="H58" s="119">
        <v>0</v>
      </c>
      <c r="I58" s="162"/>
    </row>
    <row r="59" spans="1:9" x14ac:dyDescent="0.25">
      <c r="A59" s="118" t="s">
        <v>340</v>
      </c>
      <c r="B59" s="118" t="s">
        <v>43</v>
      </c>
      <c r="C59" s="119">
        <v>110000</v>
      </c>
      <c r="D59" s="119">
        <v>110000</v>
      </c>
      <c r="E59" s="119">
        <f t="shared" si="0"/>
        <v>110000</v>
      </c>
      <c r="F59" s="119">
        <v>110000</v>
      </c>
      <c r="G59" s="119">
        <v>110000</v>
      </c>
      <c r="H59" s="119">
        <v>110000</v>
      </c>
      <c r="I59" s="162"/>
    </row>
    <row r="60" spans="1:9" x14ac:dyDescent="0.25">
      <c r="A60" s="201" t="s">
        <v>341</v>
      </c>
      <c r="B60" s="201" t="s">
        <v>342</v>
      </c>
      <c r="C60" s="202">
        <v>0</v>
      </c>
      <c r="D60" s="202">
        <v>0</v>
      </c>
      <c r="E60" s="202">
        <f t="shared" si="0"/>
        <v>0</v>
      </c>
      <c r="F60" s="202">
        <v>0</v>
      </c>
      <c r="G60" s="202">
        <v>0</v>
      </c>
      <c r="H60" s="202">
        <f>'27 Capital Budget'!V6</f>
        <v>0</v>
      </c>
      <c r="I60" s="162"/>
    </row>
    <row r="61" spans="1:9" x14ac:dyDescent="0.25">
      <c r="A61" s="201" t="s">
        <v>343</v>
      </c>
      <c r="B61" s="201" t="s">
        <v>344</v>
      </c>
      <c r="C61" s="202">
        <v>40000</v>
      </c>
      <c r="D61" s="202">
        <v>40000</v>
      </c>
      <c r="E61" s="203">
        <f>'26 Capital Budget'!I13</f>
        <v>295000</v>
      </c>
      <c r="F61" s="202">
        <v>0</v>
      </c>
      <c r="G61" s="202">
        <v>0</v>
      </c>
      <c r="H61" s="203">
        <f>'27 Capital Budget'!V7</f>
        <v>619000</v>
      </c>
      <c r="I61" s="162"/>
    </row>
    <row r="62" spans="1:9" x14ac:dyDescent="0.25">
      <c r="A62" s="68" t="s">
        <v>345</v>
      </c>
      <c r="B62" s="68" t="s">
        <v>346</v>
      </c>
      <c r="C62" s="74">
        <v>0</v>
      </c>
      <c r="D62" s="75">
        <v>0</v>
      </c>
      <c r="E62" s="75">
        <f t="shared" si="0"/>
        <v>0</v>
      </c>
      <c r="F62" s="75">
        <v>0</v>
      </c>
      <c r="G62" s="75">
        <v>0</v>
      </c>
      <c r="H62" s="75">
        <v>0</v>
      </c>
      <c r="I62" s="162"/>
    </row>
    <row r="63" spans="1:9" x14ac:dyDescent="0.25">
      <c r="A63" s="68" t="s">
        <v>347</v>
      </c>
      <c r="B63" s="68" t="s">
        <v>348</v>
      </c>
      <c r="C63" s="69">
        <v>50000</v>
      </c>
      <c r="D63" s="69">
        <v>50000</v>
      </c>
      <c r="E63" s="69">
        <v>25000</v>
      </c>
      <c r="F63" s="69">
        <v>40000</v>
      </c>
      <c r="G63" s="69">
        <v>20000</v>
      </c>
      <c r="H63" s="69">
        <v>20000</v>
      </c>
      <c r="I63" s="162"/>
    </row>
    <row r="64" spans="1:9" x14ac:dyDescent="0.25">
      <c r="A64" s="68" t="s">
        <v>349</v>
      </c>
      <c r="B64" s="68" t="s">
        <v>350</v>
      </c>
      <c r="C64" s="74">
        <v>40000</v>
      </c>
      <c r="D64" s="75">
        <v>40000</v>
      </c>
      <c r="E64" s="75">
        <f t="shared" si="0"/>
        <v>40000</v>
      </c>
      <c r="F64" s="75">
        <v>25000</v>
      </c>
      <c r="G64" s="75">
        <v>25000</v>
      </c>
      <c r="H64" s="75">
        <v>15000</v>
      </c>
      <c r="I64" s="162"/>
    </row>
    <row r="65" spans="1:9" ht="15.75" thickBot="1" x14ac:dyDescent="0.3">
      <c r="A65" s="167" t="s">
        <v>351</v>
      </c>
      <c r="B65" s="167" t="s">
        <v>164</v>
      </c>
      <c r="C65" s="169">
        <v>0</v>
      </c>
      <c r="D65" s="169">
        <v>0</v>
      </c>
      <c r="E65" s="169">
        <f t="shared" si="0"/>
        <v>0</v>
      </c>
      <c r="F65" s="169">
        <v>0</v>
      </c>
      <c r="G65" s="169">
        <v>0</v>
      </c>
      <c r="H65" s="169">
        <v>0</v>
      </c>
      <c r="I65" s="162"/>
    </row>
    <row r="66" spans="1:9" x14ac:dyDescent="0.25">
      <c r="A66" s="164" t="s">
        <v>415</v>
      </c>
      <c r="B66" s="164" t="s">
        <v>416</v>
      </c>
      <c r="C66" s="171">
        <v>0</v>
      </c>
      <c r="D66" s="165">
        <v>0</v>
      </c>
      <c r="E66" s="165">
        <f t="shared" si="0"/>
        <v>0</v>
      </c>
      <c r="F66" s="165">
        <v>50000</v>
      </c>
      <c r="G66" s="165">
        <v>10000</v>
      </c>
      <c r="H66" s="165">
        <v>60000</v>
      </c>
      <c r="I66" s="162"/>
    </row>
    <row r="67" spans="1:9" x14ac:dyDescent="0.25">
      <c r="A67" s="164" t="s">
        <v>417</v>
      </c>
      <c r="B67" s="164" t="s">
        <v>418</v>
      </c>
      <c r="C67" s="171">
        <v>0</v>
      </c>
      <c r="D67" s="166">
        <v>0</v>
      </c>
      <c r="E67" s="166">
        <f t="shared" si="0"/>
        <v>0</v>
      </c>
      <c r="F67" s="172">
        <v>700000</v>
      </c>
      <c r="G67" s="172">
        <v>2200000</v>
      </c>
      <c r="H67" s="172">
        <v>1686024</v>
      </c>
      <c r="I67" s="162"/>
    </row>
    <row r="68" spans="1:9" x14ac:dyDescent="0.25">
      <c r="A68" s="68" t="s">
        <v>419</v>
      </c>
      <c r="B68" s="68" t="s">
        <v>420</v>
      </c>
      <c r="C68" s="69">
        <v>0</v>
      </c>
      <c r="D68" s="73">
        <v>0</v>
      </c>
      <c r="E68" s="73">
        <f t="shared" si="0"/>
        <v>0</v>
      </c>
      <c r="F68" s="73">
        <v>0</v>
      </c>
      <c r="G68" s="73">
        <v>0</v>
      </c>
      <c r="H68" s="73">
        <v>0</v>
      </c>
      <c r="I68" s="162"/>
    </row>
    <row r="69" spans="1:9" x14ac:dyDescent="0.25">
      <c r="A69" s="68" t="s">
        <v>421</v>
      </c>
      <c r="B69" s="68" t="s">
        <v>99</v>
      </c>
      <c r="C69" s="74">
        <v>0</v>
      </c>
      <c r="D69" s="74">
        <v>0</v>
      </c>
      <c r="E69" s="74">
        <f t="shared" si="0"/>
        <v>0</v>
      </c>
      <c r="F69" s="74">
        <v>0</v>
      </c>
      <c r="G69" s="74">
        <v>0</v>
      </c>
      <c r="H69" s="74">
        <v>0</v>
      </c>
      <c r="I69" s="162"/>
    </row>
    <row r="70" spans="1:9" x14ac:dyDescent="0.25">
      <c r="A70" s="68" t="s">
        <v>422</v>
      </c>
      <c r="B70" s="68" t="s">
        <v>261</v>
      </c>
      <c r="C70" s="69">
        <v>0</v>
      </c>
      <c r="D70" s="69">
        <v>0</v>
      </c>
      <c r="E70" s="69">
        <f t="shared" si="0"/>
        <v>0</v>
      </c>
      <c r="F70" s="69">
        <v>0</v>
      </c>
      <c r="G70" s="69">
        <v>14000</v>
      </c>
      <c r="H70" s="69">
        <v>12000</v>
      </c>
      <c r="I70" s="162"/>
    </row>
    <row r="71" spans="1:9" ht="15.75" customHeight="1" x14ac:dyDescent="0.25">
      <c r="A71" s="68" t="s">
        <v>423</v>
      </c>
      <c r="B71" s="68" t="s">
        <v>267</v>
      </c>
      <c r="C71" s="69">
        <v>0</v>
      </c>
      <c r="D71" s="69">
        <v>0</v>
      </c>
      <c r="E71" s="69">
        <f t="shared" ref="E71:E90" si="2">D71</f>
        <v>0</v>
      </c>
      <c r="F71" s="69">
        <v>0</v>
      </c>
      <c r="G71" s="69">
        <v>0</v>
      </c>
      <c r="H71" s="69">
        <v>0</v>
      </c>
      <c r="I71" s="162"/>
    </row>
    <row r="72" spans="1:9" ht="15.75" customHeight="1" x14ac:dyDescent="0.25">
      <c r="A72" s="196" t="s">
        <v>424</v>
      </c>
      <c r="B72" s="196" t="s">
        <v>101</v>
      </c>
      <c r="C72" s="197">
        <v>600000</v>
      </c>
      <c r="D72" s="197">
        <v>600000</v>
      </c>
      <c r="E72" s="197">
        <v>550000</v>
      </c>
      <c r="F72" s="198">
        <f>_xlfn.XLOOKUP(A72,'2026 Salaries and Benefits'!$B$26:$G$26,'2026 Salaries and Benefits'!$B$34:$G$34,0)</f>
        <v>690000</v>
      </c>
      <c r="G72" s="197">
        <v>850000</v>
      </c>
      <c r="H72" s="198">
        <f>'2027 Salaries and Benefits'!B32</f>
        <v>869914</v>
      </c>
      <c r="I72" s="162"/>
    </row>
    <row r="73" spans="1:9" ht="15.75" customHeight="1" x14ac:dyDescent="0.25">
      <c r="A73" s="196" t="s">
        <v>425</v>
      </c>
      <c r="B73" s="196" t="s">
        <v>104</v>
      </c>
      <c r="C73" s="197">
        <v>46000</v>
      </c>
      <c r="D73" s="197">
        <v>46000</v>
      </c>
      <c r="E73" s="197">
        <f t="shared" si="2"/>
        <v>46000</v>
      </c>
      <c r="F73" s="198">
        <f>_xlfn.XLOOKUP(A73,'2026 Salaries and Benefits'!$B$26:$G$26,'2026 Salaries and Benefits'!$B$34:$G$34,0)</f>
        <v>48195</v>
      </c>
      <c r="G73" s="197">
        <v>67000</v>
      </c>
      <c r="H73" s="198">
        <f>'2027 Salaries and Benefits'!C32</f>
        <v>66548.421000000002</v>
      </c>
      <c r="I73" s="162"/>
    </row>
    <row r="74" spans="1:9" ht="15.75" customHeight="1" x14ac:dyDescent="0.25">
      <c r="A74" s="196" t="s">
        <v>426</v>
      </c>
      <c r="B74" s="196" t="s">
        <v>106</v>
      </c>
      <c r="C74" s="197">
        <v>0</v>
      </c>
      <c r="D74" s="197">
        <v>0</v>
      </c>
      <c r="E74" s="197">
        <f t="shared" si="2"/>
        <v>0</v>
      </c>
      <c r="F74" s="198">
        <f>_xlfn.XLOOKUP(A74,'2026 Salaries and Benefits'!$B$26:$G$26,'2026 Salaries and Benefits'!$B$34:$G$34,0)</f>
        <v>0</v>
      </c>
      <c r="G74" s="197">
        <v>40000</v>
      </c>
      <c r="H74" s="198">
        <f>'2027 Salaries and Benefits'!D32</f>
        <v>169982.8</v>
      </c>
      <c r="I74" s="162"/>
    </row>
    <row r="75" spans="1:9" ht="15.75" customHeight="1" x14ac:dyDescent="0.25">
      <c r="A75" s="196" t="s">
        <v>838</v>
      </c>
      <c r="B75" s="196" t="s">
        <v>108</v>
      </c>
      <c r="C75" s="197"/>
      <c r="D75" s="197"/>
      <c r="E75" s="197"/>
      <c r="F75" s="198"/>
      <c r="G75" s="197">
        <v>60000</v>
      </c>
      <c r="H75" s="198">
        <f>'2027 Salaries and Benefits'!E32</f>
        <v>115322.08</v>
      </c>
      <c r="I75" s="162"/>
    </row>
    <row r="76" spans="1:9" x14ac:dyDescent="0.25">
      <c r="A76" s="196" t="s">
        <v>427</v>
      </c>
      <c r="B76" s="196" t="s">
        <v>110</v>
      </c>
      <c r="C76" s="197">
        <v>2956.12</v>
      </c>
      <c r="D76" s="197">
        <v>2956.12</v>
      </c>
      <c r="E76" s="197">
        <v>10000</v>
      </c>
      <c r="F76" s="198">
        <f>_xlfn.XLOOKUP(A76,'2026 Salaries and Benefits'!$B$26:$G$26,'2026 Salaries and Benefits'!$B$34:$G$34,0)</f>
        <v>12600</v>
      </c>
      <c r="G76" s="197">
        <v>0</v>
      </c>
      <c r="H76" s="198">
        <f>'2027 Salaries and Benefits'!F32</f>
        <v>17398.28</v>
      </c>
      <c r="I76" s="162"/>
    </row>
    <row r="77" spans="1:9" x14ac:dyDescent="0.25">
      <c r="A77" s="196" t="s">
        <v>840</v>
      </c>
      <c r="B77" s="200" t="s">
        <v>114</v>
      </c>
      <c r="C77" s="197"/>
      <c r="D77" s="197"/>
      <c r="E77" s="197"/>
      <c r="F77" s="198">
        <v>0</v>
      </c>
      <c r="G77" s="197">
        <v>18</v>
      </c>
      <c r="H77" s="198">
        <f>_xlfn.XLOOKUP(A77,'2027 Salaries and Benefits'!G23,'2027 Salaries and Benefits'!G32,0)</f>
        <v>0</v>
      </c>
      <c r="I77" s="162"/>
    </row>
    <row r="78" spans="1:9" x14ac:dyDescent="0.25">
      <c r="A78" s="68" t="s">
        <v>428</v>
      </c>
      <c r="B78" s="68" t="s">
        <v>280</v>
      </c>
      <c r="C78" s="69">
        <v>18000</v>
      </c>
      <c r="D78" s="69">
        <v>18000</v>
      </c>
      <c r="E78" s="69">
        <f t="shared" si="2"/>
        <v>18000</v>
      </c>
      <c r="F78" s="69">
        <v>25000</v>
      </c>
      <c r="G78" s="69">
        <v>35000</v>
      </c>
      <c r="H78" s="69">
        <v>35000</v>
      </c>
      <c r="I78" s="162"/>
    </row>
    <row r="79" spans="1:9" x14ac:dyDescent="0.25">
      <c r="A79" s="68" t="s">
        <v>429</v>
      </c>
      <c r="B79" s="68" t="s">
        <v>295</v>
      </c>
      <c r="C79" s="74">
        <v>0</v>
      </c>
      <c r="D79" s="74">
        <v>0</v>
      </c>
      <c r="E79" s="74">
        <v>17000</v>
      </c>
      <c r="F79" s="74">
        <v>0</v>
      </c>
      <c r="G79" s="74">
        <v>0</v>
      </c>
      <c r="H79" s="74">
        <v>0</v>
      </c>
      <c r="I79" s="162"/>
    </row>
    <row r="80" spans="1:9" x14ac:dyDescent="0.25">
      <c r="A80" s="118" t="s">
        <v>430</v>
      </c>
      <c r="B80" s="118" t="s">
        <v>303</v>
      </c>
      <c r="C80" s="119">
        <v>1200</v>
      </c>
      <c r="D80" s="119">
        <v>1200</v>
      </c>
      <c r="E80" s="119">
        <f t="shared" si="2"/>
        <v>1200</v>
      </c>
      <c r="F80" s="119">
        <v>600</v>
      </c>
      <c r="G80" s="119">
        <v>15000</v>
      </c>
      <c r="H80" s="119">
        <v>15000</v>
      </c>
      <c r="I80" s="162"/>
    </row>
    <row r="81" spans="1:9" x14ac:dyDescent="0.25">
      <c r="A81" s="68" t="s">
        <v>431</v>
      </c>
      <c r="B81" s="68" t="s">
        <v>432</v>
      </c>
      <c r="C81" s="74">
        <v>20000</v>
      </c>
      <c r="D81" s="74">
        <v>20000</v>
      </c>
      <c r="E81" s="74">
        <f t="shared" si="2"/>
        <v>20000</v>
      </c>
      <c r="F81" s="74">
        <v>25000</v>
      </c>
      <c r="G81" s="74">
        <v>5000</v>
      </c>
      <c r="H81" s="74">
        <v>5000</v>
      </c>
      <c r="I81" s="162"/>
    </row>
    <row r="82" spans="1:9" x14ac:dyDescent="0.25">
      <c r="A82" s="68" t="s">
        <v>433</v>
      </c>
      <c r="B82" s="68" t="s">
        <v>309</v>
      </c>
      <c r="C82" s="69">
        <v>20000</v>
      </c>
      <c r="D82" s="69">
        <v>20000</v>
      </c>
      <c r="E82" s="69">
        <v>62000</v>
      </c>
      <c r="F82" s="69">
        <v>20000</v>
      </c>
      <c r="G82" s="69">
        <v>40000</v>
      </c>
      <c r="H82" s="69">
        <v>35000</v>
      </c>
      <c r="I82" s="162"/>
    </row>
    <row r="83" spans="1:9" x14ac:dyDescent="0.25">
      <c r="A83" s="68" t="s">
        <v>434</v>
      </c>
      <c r="B83" s="68" t="s">
        <v>311</v>
      </c>
      <c r="C83" s="69">
        <v>15000</v>
      </c>
      <c r="D83" s="69">
        <v>15000</v>
      </c>
      <c r="E83" s="69">
        <v>20000</v>
      </c>
      <c r="F83" s="69">
        <v>12000</v>
      </c>
      <c r="G83" s="69">
        <v>12000</v>
      </c>
      <c r="H83" s="69">
        <v>12000</v>
      </c>
      <c r="I83" s="162"/>
    </row>
    <row r="84" spans="1:9" x14ac:dyDescent="0.25">
      <c r="A84" s="68" t="s">
        <v>435</v>
      </c>
      <c r="B84" s="68" t="s">
        <v>329</v>
      </c>
      <c r="C84" s="69">
        <v>75000</v>
      </c>
      <c r="D84" s="69">
        <v>75000</v>
      </c>
      <c r="E84" s="69">
        <v>150000</v>
      </c>
      <c r="F84" s="69">
        <v>35000</v>
      </c>
      <c r="G84" s="69">
        <v>160000</v>
      </c>
      <c r="H84" s="69">
        <v>160000</v>
      </c>
      <c r="I84" s="162"/>
    </row>
    <row r="85" spans="1:9" x14ac:dyDescent="0.25">
      <c r="A85" s="68" t="s">
        <v>436</v>
      </c>
      <c r="B85" s="68" t="s">
        <v>331</v>
      </c>
      <c r="C85" s="69">
        <v>4000</v>
      </c>
      <c r="D85" s="69">
        <v>4000</v>
      </c>
      <c r="E85" s="69">
        <f t="shared" si="2"/>
        <v>4000</v>
      </c>
      <c r="F85" s="69">
        <v>4000</v>
      </c>
      <c r="G85" s="69">
        <v>2000</v>
      </c>
      <c r="H85" s="69">
        <v>4000</v>
      </c>
      <c r="I85" s="162"/>
    </row>
    <row r="86" spans="1:9" x14ac:dyDescent="0.25">
      <c r="A86" s="68" t="s">
        <v>437</v>
      </c>
      <c r="B86" s="68" t="s">
        <v>438</v>
      </c>
      <c r="C86" s="69">
        <v>0</v>
      </c>
      <c r="D86" s="69">
        <v>0</v>
      </c>
      <c r="E86" s="69">
        <v>250</v>
      </c>
      <c r="F86" s="69">
        <v>0</v>
      </c>
      <c r="G86" s="69">
        <v>0</v>
      </c>
      <c r="H86" s="69">
        <v>0</v>
      </c>
      <c r="I86" s="162"/>
    </row>
    <row r="87" spans="1:9" x14ac:dyDescent="0.25">
      <c r="A87" s="68" t="s">
        <v>439</v>
      </c>
      <c r="B87" s="68" t="s">
        <v>43</v>
      </c>
      <c r="C87" s="69">
        <v>20000</v>
      </c>
      <c r="D87" s="69">
        <v>20000</v>
      </c>
      <c r="E87" s="69">
        <f t="shared" si="2"/>
        <v>20000</v>
      </c>
      <c r="F87" s="69">
        <v>0</v>
      </c>
      <c r="G87" s="69">
        <v>0</v>
      </c>
      <c r="H87" s="69">
        <v>0</v>
      </c>
      <c r="I87" s="162"/>
    </row>
    <row r="88" spans="1:9" x14ac:dyDescent="0.25">
      <c r="A88" s="201" t="s">
        <v>440</v>
      </c>
      <c r="B88" s="201" t="s">
        <v>344</v>
      </c>
      <c r="C88" s="202">
        <v>0</v>
      </c>
      <c r="D88" s="202">
        <v>0</v>
      </c>
      <c r="E88" s="202">
        <f t="shared" si="2"/>
        <v>0</v>
      </c>
      <c r="F88" s="203">
        <f>'26 Capital Budget'!J21</f>
        <v>515000</v>
      </c>
      <c r="G88" s="203">
        <v>515000</v>
      </c>
      <c r="H88" s="203">
        <f>'27 Capital Budget'!V23</f>
        <v>3249000</v>
      </c>
      <c r="I88" s="162"/>
    </row>
    <row r="89" spans="1:9" x14ac:dyDescent="0.25">
      <c r="A89" s="68" t="s">
        <v>441</v>
      </c>
      <c r="B89" s="68" t="s">
        <v>348</v>
      </c>
      <c r="C89" s="69">
        <v>20000</v>
      </c>
      <c r="D89" s="69">
        <v>20000</v>
      </c>
      <c r="E89" s="69">
        <v>1500</v>
      </c>
      <c r="F89" s="69">
        <v>25000</v>
      </c>
      <c r="G89" s="69">
        <v>25000</v>
      </c>
      <c r="H89" s="69">
        <v>25000</v>
      </c>
      <c r="I89" s="162"/>
    </row>
    <row r="90" spans="1:9" x14ac:dyDescent="0.25">
      <c r="A90" s="68" t="s">
        <v>442</v>
      </c>
      <c r="B90" s="68" t="s">
        <v>164</v>
      </c>
      <c r="C90" s="69">
        <v>0</v>
      </c>
      <c r="D90" s="69">
        <v>0</v>
      </c>
      <c r="E90" s="69">
        <f t="shared" si="2"/>
        <v>0</v>
      </c>
      <c r="F90" s="69">
        <v>0</v>
      </c>
      <c r="G90" s="69">
        <v>0</v>
      </c>
      <c r="H90" s="69">
        <v>0</v>
      </c>
      <c r="I90" s="162"/>
    </row>
    <row r="95" spans="1:9" ht="15.75" customHeight="1" x14ac:dyDescent="0.25"/>
  </sheetData>
  <autoFilter ref="A4:Q224" xr:uid="{8AB793C5-3E6A-43F8-A534-DA645544195A}"/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AEFEF-39B7-4AF2-96E7-CBE91EED4CDB}">
  <sheetPr>
    <tabColor theme="4" tint="0.59999389629810485"/>
  </sheetPr>
  <dimension ref="A1:J151"/>
  <sheetViews>
    <sheetView zoomScaleNormal="100" workbookViewId="0">
      <pane ySplit="3" topLeftCell="A51" activePane="bottomLeft" state="frozen"/>
      <selection activeCell="G94" sqref="G94"/>
      <selection pane="bottomLeft" activeCell="G68" sqref="G68"/>
    </sheetView>
  </sheetViews>
  <sheetFormatPr defaultRowHeight="15" x14ac:dyDescent="0.25"/>
  <cols>
    <col min="1" max="1" width="10.85546875" style="1" bestFit="1" customWidth="1"/>
    <col min="2" max="2" width="30.140625" style="1" customWidth="1"/>
    <col min="3" max="3" width="15.140625" style="40" hidden="1" customWidth="1"/>
    <col min="4" max="4" width="15.5703125" style="1" hidden="1" customWidth="1"/>
    <col min="5" max="6" width="15.5703125" style="1" customWidth="1"/>
    <col min="7" max="7" width="15.42578125" style="1" customWidth="1"/>
    <col min="8" max="8" width="15.5703125" style="1" customWidth="1"/>
    <col min="9" max="9" width="21" style="1" customWidth="1"/>
    <col min="10" max="10" width="99" style="1" bestFit="1" customWidth="1"/>
    <col min="11" max="16384" width="9.140625" style="1"/>
  </cols>
  <sheetData>
    <row r="1" spans="1:10" x14ac:dyDescent="0.25">
      <c r="A1" s="1" t="s">
        <v>35</v>
      </c>
      <c r="E1" s="162">
        <f>SUM(E4:E150)</f>
        <v>26180914.605821244</v>
      </c>
      <c r="F1" s="162">
        <f>SUM(F4:F150)</f>
        <v>12740735.183561038</v>
      </c>
      <c r="G1" s="162">
        <f>SUM(G4:G150)</f>
        <v>12116428.963561038</v>
      </c>
      <c r="H1" s="162">
        <f>SUM(H4:H150)</f>
        <v>8223508.1998390211</v>
      </c>
    </row>
    <row r="3" spans="1:10" ht="15.75" x14ac:dyDescent="0.25">
      <c r="A3" s="65" t="s">
        <v>936</v>
      </c>
      <c r="B3" s="65" t="s">
        <v>937</v>
      </c>
      <c r="C3" s="66" t="s">
        <v>938</v>
      </c>
      <c r="D3" s="67" t="s">
        <v>939</v>
      </c>
      <c r="E3" s="67" t="s">
        <v>940</v>
      </c>
      <c r="F3" s="67" t="s">
        <v>950</v>
      </c>
      <c r="G3" s="67" t="s">
        <v>942</v>
      </c>
      <c r="H3" s="67" t="s">
        <v>943</v>
      </c>
    </row>
    <row r="4" spans="1:10" x14ac:dyDescent="0.25">
      <c r="A4" s="68" t="s">
        <v>578</v>
      </c>
      <c r="B4" s="68" t="s">
        <v>579</v>
      </c>
      <c r="C4" s="75">
        <v>3700000</v>
      </c>
      <c r="D4" s="75">
        <v>3700000</v>
      </c>
      <c r="E4" s="75">
        <v>3700000</v>
      </c>
      <c r="F4" s="75">
        <v>3700000</v>
      </c>
      <c r="G4" s="75">
        <f>_xlfn.XLOOKUP(A4,'CHRIS NEW'!$A$4:$A$150,'CHRIS NEW'!$G$4:$G$150,0)</f>
        <v>607651.79</v>
      </c>
      <c r="H4" s="75">
        <f>_xlfn.XLOOKUP(A4,'CHRIS NEW'!$A$4:$A$150,'CHRIS NEW'!$H$4:$H$150,0)</f>
        <v>1400000</v>
      </c>
      <c r="J4" s="1" t="s">
        <v>944</v>
      </c>
    </row>
    <row r="5" spans="1:10" x14ac:dyDescent="0.25">
      <c r="A5" s="68" t="s">
        <v>580</v>
      </c>
      <c r="B5" s="68" t="s">
        <v>581</v>
      </c>
      <c r="C5" s="75">
        <v>390000</v>
      </c>
      <c r="D5" s="69">
        <v>390000</v>
      </c>
      <c r="E5" s="75">
        <v>390000</v>
      </c>
      <c r="F5" s="75">
        <v>390000</v>
      </c>
      <c r="G5" s="75">
        <f>_xlfn.XLOOKUP(A5,'CHRIS NEW'!$A$4:$A$150,'CHRIS NEW'!$G$4:$G$150,0)</f>
        <v>390000</v>
      </c>
      <c r="H5" s="75">
        <f>_xlfn.XLOOKUP(A5,'CHRIS NEW'!$A$4:$A$150,'CHRIS NEW'!$H$4:$H$150,0)</f>
        <v>390000</v>
      </c>
      <c r="J5" s="70" t="s">
        <v>951</v>
      </c>
    </row>
    <row r="6" spans="1:10" x14ac:dyDescent="0.25">
      <c r="A6" s="68" t="s">
        <v>582</v>
      </c>
      <c r="B6" s="68" t="s">
        <v>583</v>
      </c>
      <c r="C6" s="75">
        <v>30</v>
      </c>
      <c r="D6" s="69">
        <v>30</v>
      </c>
      <c r="E6" s="75">
        <v>30</v>
      </c>
      <c r="F6" s="75">
        <v>30</v>
      </c>
      <c r="G6" s="75">
        <f>_xlfn.XLOOKUP(A6,'CHRIS NEW'!$A$4:$A$150,'CHRIS NEW'!$G$4:$G$150,0)</f>
        <v>30</v>
      </c>
      <c r="H6" s="75">
        <f>_xlfn.XLOOKUP(A6,'CHRIS NEW'!$A$4:$A$150,'CHRIS NEW'!$H$4:$H$150,0)</f>
        <v>30</v>
      </c>
      <c r="J6" s="71" t="s">
        <v>952</v>
      </c>
    </row>
    <row r="7" spans="1:10" x14ac:dyDescent="0.25">
      <c r="A7" s="68" t="s">
        <v>584</v>
      </c>
      <c r="B7" s="68" t="s">
        <v>585</v>
      </c>
      <c r="C7" s="75">
        <v>8580</v>
      </c>
      <c r="D7" s="69">
        <v>8580</v>
      </c>
      <c r="E7" s="75">
        <v>8580</v>
      </c>
      <c r="F7" s="75">
        <v>8580</v>
      </c>
      <c r="G7" s="75">
        <f>_xlfn.XLOOKUP(A7,'CHRIS NEW'!$A$4:$A$150,'CHRIS NEW'!$G$4:$G$150,0)</f>
        <v>8580</v>
      </c>
      <c r="H7" s="75">
        <f>_xlfn.XLOOKUP(A7,'CHRIS NEW'!$A$4:$A$150,'CHRIS NEW'!$H$4:$H$150,0)</f>
        <v>8580</v>
      </c>
      <c r="J7" s="72" t="s">
        <v>947</v>
      </c>
    </row>
    <row r="8" spans="1:10" x14ac:dyDescent="0.25">
      <c r="A8" s="68" t="s">
        <v>586</v>
      </c>
      <c r="B8" s="68" t="s">
        <v>587</v>
      </c>
      <c r="C8" s="75">
        <v>350000</v>
      </c>
      <c r="D8" s="69">
        <v>350000</v>
      </c>
      <c r="E8" s="75">
        <v>350000</v>
      </c>
      <c r="F8" s="75">
        <v>350000</v>
      </c>
      <c r="G8" s="75">
        <f>_xlfn.XLOOKUP(A8,'CHRIS NEW'!$A$4:$A$150,'CHRIS NEW'!$G$4:$G$150,0)</f>
        <v>350000</v>
      </c>
      <c r="H8" s="75">
        <f>_xlfn.XLOOKUP(A8,'CHRIS NEW'!$A$4:$A$150,'CHRIS NEW'!$H$4:$H$150,0)</f>
        <v>350000</v>
      </c>
      <c r="J8" s="31" t="s">
        <v>948</v>
      </c>
    </row>
    <row r="9" spans="1:10" x14ac:dyDescent="0.25">
      <c r="A9" s="68" t="s">
        <v>588</v>
      </c>
      <c r="B9" s="68" t="s">
        <v>589</v>
      </c>
      <c r="C9" s="75">
        <v>0</v>
      </c>
      <c r="D9" s="69">
        <v>0</v>
      </c>
      <c r="E9" s="75">
        <v>0</v>
      </c>
      <c r="F9" s="75">
        <v>0</v>
      </c>
      <c r="G9" s="75">
        <f>_xlfn.XLOOKUP(A9,'CHRIS NEW'!$A$4:$A$150,'CHRIS NEW'!$G$4:$G$150,0)</f>
        <v>0</v>
      </c>
      <c r="H9" s="75">
        <f>_xlfn.XLOOKUP(A9,'CHRIS NEW'!$A$4:$A$150,'CHRIS NEW'!$H$4:$H$150,0)</f>
        <v>0</v>
      </c>
    </row>
    <row r="10" spans="1:10" x14ac:dyDescent="0.25">
      <c r="A10" s="68" t="s">
        <v>590</v>
      </c>
      <c r="B10" s="68" t="s">
        <v>591</v>
      </c>
      <c r="C10" s="75">
        <v>0</v>
      </c>
      <c r="D10" s="69">
        <v>0</v>
      </c>
      <c r="E10" s="75">
        <v>0</v>
      </c>
      <c r="F10" s="75">
        <v>0</v>
      </c>
      <c r="G10" s="75">
        <f>_xlfn.XLOOKUP(A10,'CHRIS NEW'!$A$4:$A$150,'CHRIS NEW'!$G$4:$G$150,0)</f>
        <v>0</v>
      </c>
      <c r="H10" s="75">
        <f>_xlfn.XLOOKUP(A10,'CHRIS NEW'!$A$4:$A$150,'CHRIS NEW'!$H$4:$H$150,0)</f>
        <v>0</v>
      </c>
      <c r="J10" s="205" t="s">
        <v>1194</v>
      </c>
    </row>
    <row r="11" spans="1:10" x14ac:dyDescent="0.25">
      <c r="A11" s="68" t="s">
        <v>592</v>
      </c>
      <c r="B11" s="68" t="s">
        <v>593</v>
      </c>
      <c r="C11" s="75">
        <v>0</v>
      </c>
      <c r="D11" s="69">
        <v>0</v>
      </c>
      <c r="E11" s="75">
        <v>0</v>
      </c>
      <c r="F11" s="75">
        <v>0</v>
      </c>
      <c r="G11" s="75">
        <f>_xlfn.XLOOKUP(A11,'CHRIS NEW'!$A$4:$A$150,'CHRIS NEW'!$G$4:$G$150,0)</f>
        <v>0</v>
      </c>
      <c r="H11" s="75">
        <f>_xlfn.XLOOKUP(A11,'CHRIS NEW'!$A$4:$A$150,'CHRIS NEW'!$H$4:$H$150,0)</f>
        <v>0</v>
      </c>
    </row>
    <row r="12" spans="1:10" x14ac:dyDescent="0.25">
      <c r="A12" s="68" t="s">
        <v>594</v>
      </c>
      <c r="B12" s="68" t="s">
        <v>256</v>
      </c>
      <c r="C12" s="75">
        <v>0</v>
      </c>
      <c r="D12" s="69">
        <v>0</v>
      </c>
      <c r="E12" s="75">
        <v>0</v>
      </c>
      <c r="F12" s="75">
        <v>0</v>
      </c>
      <c r="G12" s="75">
        <f>_xlfn.XLOOKUP(A12,'CHRIS NEW'!$A$4:$A$150,'CHRIS NEW'!$G$4:$G$150,0)</f>
        <v>0</v>
      </c>
      <c r="H12" s="75">
        <f>_xlfn.XLOOKUP(A12,'CHRIS NEW'!$A$4:$A$150,'CHRIS NEW'!$H$4:$H$150,0)</f>
        <v>0</v>
      </c>
    </row>
    <row r="13" spans="1:10" x14ac:dyDescent="0.25">
      <c r="A13" s="68" t="s">
        <v>595</v>
      </c>
      <c r="B13" s="68" t="s">
        <v>99</v>
      </c>
      <c r="C13" s="75">
        <v>4110</v>
      </c>
      <c r="D13" s="69">
        <v>4110</v>
      </c>
      <c r="E13" s="75">
        <v>4110</v>
      </c>
      <c r="F13" s="75">
        <v>4110</v>
      </c>
      <c r="G13" s="75">
        <f>_xlfn.XLOOKUP(A13,'CHRIS NEW'!$A$4:$A$150,'CHRIS NEW'!$G$4:$G$150,0)</f>
        <v>4110</v>
      </c>
      <c r="H13" s="75">
        <f>_xlfn.XLOOKUP(A13,'CHRIS NEW'!$A$4:$A$150,'CHRIS NEW'!$H$4:$H$150,0)</f>
        <v>4110</v>
      </c>
    </row>
    <row r="14" spans="1:10" x14ac:dyDescent="0.25">
      <c r="A14" s="68" t="s">
        <v>596</v>
      </c>
      <c r="B14" s="68" t="s">
        <v>259</v>
      </c>
      <c r="C14" s="75">
        <v>80000</v>
      </c>
      <c r="D14" s="69">
        <v>80000</v>
      </c>
      <c r="E14" s="75">
        <v>80000</v>
      </c>
      <c r="F14" s="75">
        <v>80000</v>
      </c>
      <c r="G14" s="75">
        <f>_xlfn.XLOOKUP(A14,'CHRIS NEW'!$A$4:$A$150,'CHRIS NEW'!$G$4:$G$150,0)</f>
        <v>80000</v>
      </c>
      <c r="H14" s="75">
        <f>_xlfn.XLOOKUP(A14,'CHRIS NEW'!$A$4:$A$150,'CHRIS NEW'!$H$4:$H$150,0)</f>
        <v>80000</v>
      </c>
    </row>
    <row r="15" spans="1:10" x14ac:dyDescent="0.25">
      <c r="A15" s="68" t="s">
        <v>597</v>
      </c>
      <c r="B15" s="68" t="s">
        <v>261</v>
      </c>
      <c r="C15" s="75">
        <v>100000</v>
      </c>
      <c r="D15" s="69">
        <v>100000</v>
      </c>
      <c r="E15" s="75">
        <v>100000</v>
      </c>
      <c r="F15" s="75">
        <v>100000</v>
      </c>
      <c r="G15" s="75">
        <f>_xlfn.XLOOKUP(A15,'CHRIS NEW'!$A$4:$A$150,'CHRIS NEW'!$G$4:$G$150,0)</f>
        <v>100000</v>
      </c>
      <c r="H15" s="75">
        <f>_xlfn.XLOOKUP(A15,'CHRIS NEW'!$A$4:$A$150,'CHRIS NEW'!$H$4:$H$150,0)</f>
        <v>100000</v>
      </c>
    </row>
    <row r="16" spans="1:10" x14ac:dyDescent="0.25">
      <c r="A16" s="68" t="s">
        <v>598</v>
      </c>
      <c r="B16" s="68" t="s">
        <v>267</v>
      </c>
      <c r="C16" s="75">
        <v>0</v>
      </c>
      <c r="D16" s="69">
        <v>0</v>
      </c>
      <c r="E16" s="75">
        <v>0</v>
      </c>
      <c r="F16" s="75">
        <v>0</v>
      </c>
      <c r="G16" s="75">
        <f>_xlfn.XLOOKUP(A16,'CHRIS NEW'!$A$4:$A$150,'CHRIS NEW'!$G$4:$G$150,0)</f>
        <v>0</v>
      </c>
      <c r="H16" s="75">
        <f>_xlfn.XLOOKUP(A16,'CHRIS NEW'!$A$4:$A$150,'CHRIS NEW'!$H$4:$H$150,0)</f>
        <v>0</v>
      </c>
    </row>
    <row r="17" spans="1:9" x14ac:dyDescent="0.25">
      <c r="A17" s="68" t="s">
        <v>599</v>
      </c>
      <c r="B17" s="68" t="s">
        <v>600</v>
      </c>
      <c r="C17" s="75">
        <v>0</v>
      </c>
      <c r="D17" s="73">
        <v>0</v>
      </c>
      <c r="E17" s="75">
        <v>0</v>
      </c>
      <c r="F17" s="75">
        <v>0</v>
      </c>
      <c r="G17" s="75">
        <f>_xlfn.XLOOKUP(A17,'CHRIS NEW'!$A$4:$A$150,'CHRIS NEW'!$G$4:$G$150,0)</f>
        <v>0</v>
      </c>
      <c r="H17" s="75">
        <f>_xlfn.XLOOKUP(A17,'CHRIS NEW'!$A$4:$A$150,'CHRIS NEW'!$H$4:$H$150,0)</f>
        <v>0</v>
      </c>
    </row>
    <row r="18" spans="1:9" x14ac:dyDescent="0.25">
      <c r="A18" s="68" t="s">
        <v>601</v>
      </c>
      <c r="B18" s="68" t="s">
        <v>106</v>
      </c>
      <c r="C18" s="75">
        <v>0</v>
      </c>
      <c r="D18" s="73">
        <v>0</v>
      </c>
      <c r="E18" s="75">
        <v>0</v>
      </c>
      <c r="F18" s="75">
        <v>0</v>
      </c>
      <c r="G18" s="75">
        <f>_xlfn.XLOOKUP(A18,'CHRIS NEW'!$A$4:$A$150,'CHRIS NEW'!$G$4:$G$150,0)</f>
        <v>0</v>
      </c>
      <c r="H18" s="75">
        <f>_xlfn.XLOOKUP(A18,'CHRIS NEW'!$A$4:$A$150,'CHRIS NEW'!$H$4:$H$150,0)</f>
        <v>0</v>
      </c>
    </row>
    <row r="19" spans="1:9" x14ac:dyDescent="0.25">
      <c r="A19" s="68" t="s">
        <v>602</v>
      </c>
      <c r="B19" s="68" t="s">
        <v>603</v>
      </c>
      <c r="C19" s="75">
        <v>0</v>
      </c>
      <c r="D19" s="73">
        <v>0</v>
      </c>
      <c r="E19" s="75">
        <v>0</v>
      </c>
      <c r="F19" s="75">
        <v>0</v>
      </c>
      <c r="G19" s="75">
        <f>_xlfn.XLOOKUP(A19,'CHRIS NEW'!$A$4:$A$150,'CHRIS NEW'!$G$4:$G$150,0)</f>
        <v>0</v>
      </c>
      <c r="H19" s="75">
        <f>_xlfn.XLOOKUP(A19,'CHRIS NEW'!$A$4:$A$150,'CHRIS NEW'!$H$4:$H$150,0)</f>
        <v>0</v>
      </c>
    </row>
    <row r="20" spans="1:9" x14ac:dyDescent="0.25">
      <c r="A20" s="68" t="s">
        <v>604</v>
      </c>
      <c r="B20" s="68" t="s">
        <v>110</v>
      </c>
      <c r="C20" s="75">
        <v>0</v>
      </c>
      <c r="D20" s="73">
        <v>0</v>
      </c>
      <c r="E20" s="75">
        <v>0</v>
      </c>
      <c r="F20" s="75">
        <v>0</v>
      </c>
      <c r="G20" s="75">
        <f>_xlfn.XLOOKUP(A20,'CHRIS NEW'!$A$4:$A$150,'CHRIS NEW'!$G$4:$G$150,0)</f>
        <v>0</v>
      </c>
      <c r="H20" s="75">
        <f>_xlfn.XLOOKUP(A20,'CHRIS NEW'!$A$4:$A$150,'CHRIS NEW'!$H$4:$H$150,0)</f>
        <v>0</v>
      </c>
    </row>
    <row r="21" spans="1:9" x14ac:dyDescent="0.25">
      <c r="A21" s="68" t="s">
        <v>605</v>
      </c>
      <c r="B21" s="68" t="s">
        <v>112</v>
      </c>
      <c r="C21" s="75">
        <v>0</v>
      </c>
      <c r="D21" s="73">
        <v>0</v>
      </c>
      <c r="E21" s="75">
        <v>0</v>
      </c>
      <c r="F21" s="75">
        <v>0</v>
      </c>
      <c r="G21" s="75">
        <f>_xlfn.XLOOKUP(A21,'CHRIS NEW'!$A$4:$A$150,'CHRIS NEW'!$G$4:$G$150,0)</f>
        <v>0</v>
      </c>
      <c r="H21" s="75">
        <f>_xlfn.XLOOKUP(A21,'CHRIS NEW'!$A$4:$A$150,'CHRIS NEW'!$H$4:$H$150,0)</f>
        <v>0</v>
      </c>
    </row>
    <row r="22" spans="1:9" x14ac:dyDescent="0.25">
      <c r="A22" s="68" t="s">
        <v>606</v>
      </c>
      <c r="B22" s="68" t="s">
        <v>114</v>
      </c>
      <c r="C22" s="75">
        <v>0</v>
      </c>
      <c r="D22" s="69">
        <v>0</v>
      </c>
      <c r="E22" s="75">
        <v>0</v>
      </c>
      <c r="F22" s="75">
        <v>0</v>
      </c>
      <c r="G22" s="75">
        <f>_xlfn.XLOOKUP(A22,'CHRIS NEW'!$A$4:$A$150,'CHRIS NEW'!$G$4:$G$150,0)</f>
        <v>0</v>
      </c>
      <c r="H22" s="75">
        <f>_xlfn.XLOOKUP(A22,'CHRIS NEW'!$A$4:$A$150,'CHRIS NEW'!$H$4:$H$150,0)</f>
        <v>0</v>
      </c>
    </row>
    <row r="23" spans="1:9" x14ac:dyDescent="0.25">
      <c r="A23" s="201" t="s">
        <v>607</v>
      </c>
      <c r="B23" s="201" t="s">
        <v>101</v>
      </c>
      <c r="C23" s="202">
        <v>240280</v>
      </c>
      <c r="D23" s="203">
        <v>221918.51250000001</v>
      </c>
      <c r="E23" s="202">
        <v>221918.51250000001</v>
      </c>
      <c r="F23" s="204">
        <f>_xlfn.XLOOKUP(A23,'2026 Salaries and Benefits'!$B$38:$G$38,'2026 Salaries and Benefits'!$B$50:$G$50,0)</f>
        <v>258650.34900000002</v>
      </c>
      <c r="G23" s="204">
        <f>_xlfn.XLOOKUP(A23,'CHRIS NEW'!$A$4:$A$150,'CHRIS NEW'!$G$4:$G$150,0)</f>
        <v>258650.34899999999</v>
      </c>
      <c r="H23" s="204">
        <f>'2027 Salaries and Benefits'!B48</f>
        <v>210153.56189999994</v>
      </c>
    </row>
    <row r="24" spans="1:9" x14ac:dyDescent="0.25">
      <c r="A24" s="201" t="s">
        <v>608</v>
      </c>
      <c r="B24" s="201" t="s">
        <v>104</v>
      </c>
      <c r="C24" s="202">
        <v>18381</v>
      </c>
      <c r="D24" s="202">
        <v>16976.766206250002</v>
      </c>
      <c r="E24" s="202">
        <v>16976.766206250002</v>
      </c>
      <c r="F24" s="204">
        <f>_xlfn.XLOOKUP(A24,'2026 Salaries and Benefits'!$B$38:$G$38,'2026 Salaries and Benefits'!$B$50:$G$50,0)</f>
        <v>19786.7516985</v>
      </c>
      <c r="G24" s="204">
        <f>_xlfn.XLOOKUP(A24,'CHRIS NEW'!$A$4:$A$150,'CHRIS NEW'!$G$4:$G$150,0)</f>
        <v>19786.7516985</v>
      </c>
      <c r="H24" s="204">
        <f>'2027 Salaries and Benefits'!C48</f>
        <v>16076.747485349995</v>
      </c>
      <c r="I24" s="162"/>
    </row>
    <row r="25" spans="1:9" x14ac:dyDescent="0.25">
      <c r="A25" s="201" t="s">
        <v>609</v>
      </c>
      <c r="B25" s="201" t="s">
        <v>106</v>
      </c>
      <c r="C25" s="202">
        <v>44741</v>
      </c>
      <c r="D25" s="202">
        <v>31944.720000000001</v>
      </c>
      <c r="E25" s="202">
        <v>31944.720000000001</v>
      </c>
      <c r="F25" s="204">
        <f>_xlfn.XLOOKUP(A25,'2026 Salaries and Benefits'!$B$38:$G$38,'2026 Salaries and Benefits'!$B$50:$G$50,0)</f>
        <v>38885.520000000004</v>
      </c>
      <c r="G25" s="204">
        <f>_xlfn.XLOOKUP(A25,'CHRIS NEW'!$A$4:$A$150,'CHRIS NEW'!$G$4:$G$150,0)</f>
        <v>38885.520000000004</v>
      </c>
      <c r="H25" s="204">
        <f>'2027 Salaries and Benefits'!D48</f>
        <v>30695.847519999999</v>
      </c>
      <c r="I25" s="162"/>
    </row>
    <row r="26" spans="1:9" x14ac:dyDescent="0.25">
      <c r="A26" s="201" t="s">
        <v>610</v>
      </c>
      <c r="B26" s="201" t="s">
        <v>108</v>
      </c>
      <c r="C26" s="202">
        <v>43335</v>
      </c>
      <c r="D26" s="202">
        <v>50232.110999999997</v>
      </c>
      <c r="E26" s="202">
        <v>50232.110999999997</v>
      </c>
      <c r="F26" s="204">
        <f>_xlfn.XLOOKUP(A26,'2026 Salaries and Benefits'!$B$38:$G$38,'2026 Salaries and Benefits'!$B$50:$G$50,0)</f>
        <v>53023.255799999999</v>
      </c>
      <c r="G26" s="204">
        <f>_xlfn.XLOOKUP(A26,'CHRIS NEW'!$A$4:$A$150,'CHRIS NEW'!$G$4:$G$150,0)</f>
        <v>53023.255799999999</v>
      </c>
      <c r="H26" s="204">
        <f>'2027 Salaries and Benefits'!E48</f>
        <v>114383.75237599999</v>
      </c>
    </row>
    <row r="27" spans="1:9" x14ac:dyDescent="0.25">
      <c r="A27" s="201" t="s">
        <v>611</v>
      </c>
      <c r="B27" s="201" t="s">
        <v>110</v>
      </c>
      <c r="C27" s="202">
        <v>6099</v>
      </c>
      <c r="D27" s="202">
        <v>4262.7552000000005</v>
      </c>
      <c r="E27" s="202">
        <v>4262.7552000000005</v>
      </c>
      <c r="F27" s="204">
        <f>_xlfn.XLOOKUP(A27,'2026 Salaries and Benefits'!$B$38:$G$38,'2026 Salaries and Benefits'!$B$50:$G$50,0)</f>
        <v>4985.4406399999998</v>
      </c>
      <c r="G27" s="204">
        <f>_xlfn.XLOOKUP(A27,'CHRIS NEW'!$A$4:$A$150,'CHRIS NEW'!$G$4:$G$150,0)</f>
        <v>4985.4406399999998</v>
      </c>
      <c r="H27" s="204">
        <f>'2027 Salaries and Benefits'!F48</f>
        <v>4006.0952379999999</v>
      </c>
    </row>
    <row r="28" spans="1:9" x14ac:dyDescent="0.25">
      <c r="A28" s="201" t="s">
        <v>612</v>
      </c>
      <c r="B28" s="201" t="s">
        <v>112</v>
      </c>
      <c r="C28" s="202">
        <v>10000</v>
      </c>
      <c r="D28" s="202">
        <v>0</v>
      </c>
      <c r="E28" s="202">
        <v>10000</v>
      </c>
      <c r="F28" s="204">
        <v>0</v>
      </c>
      <c r="G28" s="204">
        <f>_xlfn.XLOOKUP(A28,'CHRIS NEW'!$A$4:$A$150,'CHRIS NEW'!$G$4:$G$150,0)</f>
        <v>0</v>
      </c>
      <c r="H28" s="204">
        <f>_xlfn.XLOOKUP(A28,'CHRIS NEW'!$A$4:$A$150,'CHRIS NEW'!$H$4:$H$150,0)</f>
        <v>0</v>
      </c>
    </row>
    <row r="29" spans="1:9" x14ac:dyDescent="0.25">
      <c r="A29" s="201" t="s">
        <v>613</v>
      </c>
      <c r="B29" s="201" t="s">
        <v>114</v>
      </c>
      <c r="C29" s="202">
        <v>297</v>
      </c>
      <c r="D29" s="202">
        <v>108</v>
      </c>
      <c r="E29" s="202">
        <v>108</v>
      </c>
      <c r="F29" s="204">
        <f>_xlfn.XLOOKUP(A29,'2026 Salaries and Benefits'!$B$38:$G$38,'2026 Salaries and Benefits'!$B$50:$G$50,0)</f>
        <v>115.20000000000002</v>
      </c>
      <c r="G29" s="204">
        <f>_xlfn.XLOOKUP(A29,'CHRIS NEW'!$A$4:$A$150,'CHRIS NEW'!$G$4:$G$150,0)</f>
        <v>115.20000000000002</v>
      </c>
      <c r="H29" s="204">
        <f>'2027 Salaries and Benefits'!G48</f>
        <v>172.80000000000004</v>
      </c>
    </row>
    <row r="30" spans="1:9" x14ac:dyDescent="0.25">
      <c r="A30" s="68" t="s">
        <v>614</v>
      </c>
      <c r="B30" s="68" t="s">
        <v>276</v>
      </c>
      <c r="C30" s="75">
        <v>550</v>
      </c>
      <c r="D30" s="69">
        <v>0</v>
      </c>
      <c r="E30" s="75">
        <v>600</v>
      </c>
      <c r="F30" s="75">
        <v>600</v>
      </c>
      <c r="G30" s="75">
        <f>_xlfn.XLOOKUP(A30,'CHRIS NEW'!$A$4:$A$150,'CHRIS NEW'!$G$4:$G$150,0)</f>
        <v>600</v>
      </c>
      <c r="H30" s="75">
        <f>_xlfn.XLOOKUP(A30,'CHRIS NEW'!$A$4:$A$150,'CHRIS NEW'!$H$4:$H$150,0)</f>
        <v>600</v>
      </c>
    </row>
    <row r="31" spans="1:9" x14ac:dyDescent="0.25">
      <c r="A31" s="68" t="s">
        <v>615</v>
      </c>
      <c r="B31" s="68" t="s">
        <v>278</v>
      </c>
      <c r="C31" s="75">
        <v>0</v>
      </c>
      <c r="D31" s="74">
        <v>0</v>
      </c>
      <c r="E31" s="75">
        <v>0</v>
      </c>
      <c r="F31" s="75">
        <v>0</v>
      </c>
      <c r="G31" s="75">
        <f>_xlfn.XLOOKUP(A31,'CHRIS NEW'!$A$4:$A$150,'CHRIS NEW'!$G$4:$G$150,0)</f>
        <v>0</v>
      </c>
      <c r="H31" s="75">
        <f>_xlfn.XLOOKUP(A31,'CHRIS NEW'!$A$4:$A$150,'CHRIS NEW'!$H$4:$H$150,0)</f>
        <v>0</v>
      </c>
    </row>
    <row r="32" spans="1:9" x14ac:dyDescent="0.25">
      <c r="A32" s="68" t="s">
        <v>616</v>
      </c>
      <c r="B32" s="68" t="s">
        <v>280</v>
      </c>
      <c r="C32" s="75">
        <v>7000</v>
      </c>
      <c r="D32" s="69">
        <v>7000</v>
      </c>
      <c r="E32" s="75">
        <v>7000</v>
      </c>
      <c r="F32" s="75">
        <v>7000</v>
      </c>
      <c r="G32" s="75">
        <f>_xlfn.XLOOKUP(A32,'CHRIS NEW'!$A$4:$A$150,'CHRIS NEW'!$G$4:$G$150,0)</f>
        <v>9000</v>
      </c>
      <c r="H32" s="75">
        <f>_xlfn.XLOOKUP(A32,'CHRIS NEW'!$A$4:$A$150,'CHRIS NEW'!$H$4:$H$150,0)</f>
        <v>9000</v>
      </c>
    </row>
    <row r="33" spans="1:9" x14ac:dyDescent="0.25">
      <c r="A33" s="68" t="s">
        <v>617</v>
      </c>
      <c r="B33" s="68" t="s">
        <v>120</v>
      </c>
      <c r="C33" s="75">
        <v>7500</v>
      </c>
      <c r="D33" s="69">
        <v>6500</v>
      </c>
      <c r="E33" s="75">
        <v>6500</v>
      </c>
      <c r="F33" s="75">
        <v>6500</v>
      </c>
      <c r="G33" s="75">
        <f>_xlfn.XLOOKUP(A33,'CHRIS NEW'!$A$4:$A$150,'CHRIS NEW'!$G$4:$G$150,0)</f>
        <v>12000</v>
      </c>
      <c r="H33" s="75">
        <f>_xlfn.XLOOKUP(A33,'CHRIS NEW'!$A$4:$A$150,'CHRIS NEW'!$H$4:$H$150,0)</f>
        <v>12000</v>
      </c>
    </row>
    <row r="34" spans="1:9" x14ac:dyDescent="0.25">
      <c r="A34" s="68" t="s">
        <v>618</v>
      </c>
      <c r="B34" s="68" t="s">
        <v>124</v>
      </c>
      <c r="C34" s="75">
        <v>10000</v>
      </c>
      <c r="D34" s="74">
        <v>10000</v>
      </c>
      <c r="E34" s="75">
        <v>10000</v>
      </c>
      <c r="F34" s="75">
        <v>10000</v>
      </c>
      <c r="G34" s="75">
        <f>_xlfn.XLOOKUP(A34,'CHRIS NEW'!$A$4:$A$150,'CHRIS NEW'!$G$4:$G$150,0)</f>
        <v>10000</v>
      </c>
      <c r="H34" s="75">
        <f>_xlfn.XLOOKUP(A34,'CHRIS NEW'!$A$4:$A$150,'CHRIS NEW'!$H$4:$H$150,0)</f>
        <v>10000</v>
      </c>
    </row>
    <row r="35" spans="1:9" x14ac:dyDescent="0.25">
      <c r="A35" s="68" t="s">
        <v>619</v>
      </c>
      <c r="B35" s="68" t="s">
        <v>126</v>
      </c>
      <c r="C35" s="75">
        <v>8000</v>
      </c>
      <c r="D35" s="69">
        <v>8000</v>
      </c>
      <c r="E35" s="75">
        <v>8000</v>
      </c>
      <c r="F35" s="75">
        <v>8000</v>
      </c>
      <c r="G35" s="75">
        <f>_xlfn.XLOOKUP(A35,'CHRIS NEW'!$A$4:$A$150,'CHRIS NEW'!$G$4:$G$150,0)</f>
        <v>8000</v>
      </c>
      <c r="H35" s="75">
        <f>_xlfn.XLOOKUP(A35,'CHRIS NEW'!$A$4:$A$150,'CHRIS NEW'!$H$4:$H$150,0)</f>
        <v>8000</v>
      </c>
    </row>
    <row r="36" spans="1:9" x14ac:dyDescent="0.25">
      <c r="A36" s="68" t="s">
        <v>620</v>
      </c>
      <c r="B36" s="68" t="s">
        <v>287</v>
      </c>
      <c r="C36" s="75">
        <v>6000</v>
      </c>
      <c r="D36" s="69">
        <v>6000</v>
      </c>
      <c r="E36" s="75">
        <v>6000</v>
      </c>
      <c r="F36" s="75">
        <v>6000</v>
      </c>
      <c r="G36" s="75">
        <f>_xlfn.XLOOKUP(A36,'CHRIS NEW'!$A$4:$A$150,'CHRIS NEW'!$G$4:$G$150,0)</f>
        <v>6000</v>
      </c>
      <c r="H36" s="75">
        <f>_xlfn.XLOOKUP(A36,'CHRIS NEW'!$A$4:$A$150,'CHRIS NEW'!$H$4:$H$150,0)</f>
        <v>6000</v>
      </c>
    </row>
    <row r="37" spans="1:9" x14ac:dyDescent="0.25">
      <c r="A37" s="68" t="s">
        <v>621</v>
      </c>
      <c r="B37" s="68" t="s">
        <v>132</v>
      </c>
      <c r="C37" s="75">
        <v>30000</v>
      </c>
      <c r="D37" s="69">
        <v>25000</v>
      </c>
      <c r="E37" s="75">
        <v>25000</v>
      </c>
      <c r="F37" s="75">
        <v>25000</v>
      </c>
      <c r="G37" s="75">
        <f>_xlfn.XLOOKUP(A37,'CHRIS NEW'!$A$4:$A$150,'CHRIS NEW'!$G$4:$G$150,0)</f>
        <v>25000</v>
      </c>
      <c r="H37" s="75">
        <f>_xlfn.XLOOKUP(A37,'CHRIS NEW'!$A$4:$A$150,'CHRIS NEW'!$H$4:$H$150,0)</f>
        <v>25000</v>
      </c>
    </row>
    <row r="38" spans="1:9" x14ac:dyDescent="0.25">
      <c r="A38" s="68" t="s">
        <v>622</v>
      </c>
      <c r="B38" s="68" t="s">
        <v>291</v>
      </c>
      <c r="C38" s="75">
        <v>250</v>
      </c>
      <c r="D38" s="69">
        <v>300</v>
      </c>
      <c r="E38" s="75">
        <v>300</v>
      </c>
      <c r="F38" s="75">
        <v>300</v>
      </c>
      <c r="G38" s="75">
        <f>_xlfn.XLOOKUP(A38,'CHRIS NEW'!$A$4:$A$150,'CHRIS NEW'!$G$4:$G$150,0)</f>
        <v>300</v>
      </c>
      <c r="H38" s="75">
        <f>_xlfn.XLOOKUP(A38,'CHRIS NEW'!$A$4:$A$150,'CHRIS NEW'!$H$4:$H$150,0)</f>
        <v>300</v>
      </c>
    </row>
    <row r="39" spans="1:9" x14ac:dyDescent="0.25">
      <c r="A39" s="68" t="s">
        <v>623</v>
      </c>
      <c r="B39" s="68" t="s">
        <v>295</v>
      </c>
      <c r="C39" s="75">
        <v>0</v>
      </c>
      <c r="D39" s="69">
        <v>0</v>
      </c>
      <c r="E39" s="75">
        <v>0</v>
      </c>
      <c r="F39" s="75">
        <v>0</v>
      </c>
      <c r="G39" s="75">
        <f>_xlfn.XLOOKUP(A39,'CHRIS NEW'!$A$4:$A$150,'CHRIS NEW'!$G$4:$G$150,0)</f>
        <v>0</v>
      </c>
      <c r="H39" s="75">
        <f>_xlfn.XLOOKUP(A39,'CHRIS NEW'!$A$4:$A$150,'CHRIS NEW'!$H$4:$H$150,0)</f>
        <v>0</v>
      </c>
    </row>
    <row r="40" spans="1:9" x14ac:dyDescent="0.25">
      <c r="A40" s="68" t="s">
        <v>624</v>
      </c>
      <c r="B40" s="68" t="s">
        <v>297</v>
      </c>
      <c r="C40" s="75">
        <v>6500</v>
      </c>
      <c r="D40" s="69">
        <v>6500</v>
      </c>
      <c r="E40" s="75">
        <v>6500</v>
      </c>
      <c r="F40" s="75">
        <v>6500</v>
      </c>
      <c r="G40" s="75">
        <f>_xlfn.XLOOKUP(A40,'CHRIS NEW'!$A$4:$A$150,'CHRIS NEW'!$G$4:$G$150,0)</f>
        <v>7000</v>
      </c>
      <c r="H40" s="75">
        <f>_xlfn.XLOOKUP(A40,'CHRIS NEW'!$A$4:$A$150,'CHRIS NEW'!$H$4:$H$150,0)</f>
        <v>14000</v>
      </c>
    </row>
    <row r="41" spans="1:9" x14ac:dyDescent="0.25">
      <c r="A41" s="68" t="s">
        <v>625</v>
      </c>
      <c r="B41" s="68" t="s">
        <v>303</v>
      </c>
      <c r="C41" s="75">
        <v>18000</v>
      </c>
      <c r="D41" s="74">
        <v>18000</v>
      </c>
      <c r="E41" s="75">
        <v>18000</v>
      </c>
      <c r="F41" s="75">
        <v>18000</v>
      </c>
      <c r="G41" s="75">
        <f>_xlfn.XLOOKUP(A41,'CHRIS NEW'!$A$4:$A$150,'CHRIS NEW'!$G$4:$G$150,0)</f>
        <v>18000</v>
      </c>
      <c r="H41" s="75">
        <f>_xlfn.XLOOKUP(A41,'CHRIS NEW'!$A$4:$A$150,'CHRIS NEW'!$H$4:$H$150,0)</f>
        <v>18000</v>
      </c>
    </row>
    <row r="42" spans="1:9" x14ac:dyDescent="0.25">
      <c r="A42" s="118" t="s">
        <v>626</v>
      </c>
      <c r="B42" s="118" t="s">
        <v>627</v>
      </c>
      <c r="C42" s="75">
        <v>1850</v>
      </c>
      <c r="D42" s="119">
        <v>1000</v>
      </c>
      <c r="E42" s="75">
        <v>1850</v>
      </c>
      <c r="F42" s="75">
        <v>1850</v>
      </c>
      <c r="G42" s="75">
        <f>_xlfn.XLOOKUP(A42,'CHRIS NEW'!$A$4:$A$150,'CHRIS NEW'!$G$4:$G$150,0)</f>
        <v>1850</v>
      </c>
      <c r="H42" s="75">
        <f>_xlfn.XLOOKUP(A42,'CHRIS NEW'!$A$4:$A$150,'CHRIS NEW'!$H$4:$H$150,0)</f>
        <v>2500</v>
      </c>
      <c r="I42" s="162"/>
    </row>
    <row r="43" spans="1:9" x14ac:dyDescent="0.25">
      <c r="A43" s="68" t="s">
        <v>628</v>
      </c>
      <c r="B43" s="68" t="s">
        <v>311</v>
      </c>
      <c r="C43" s="75">
        <v>3000</v>
      </c>
      <c r="D43" s="74">
        <v>3000</v>
      </c>
      <c r="E43" s="75">
        <v>3000</v>
      </c>
      <c r="F43" s="75">
        <v>3000</v>
      </c>
      <c r="G43" s="75">
        <f>_xlfn.XLOOKUP(A43,'CHRIS NEW'!$A$4:$A$150,'CHRIS NEW'!$G$4:$G$150,0)</f>
        <v>3500</v>
      </c>
      <c r="H43" s="75">
        <f>_xlfn.XLOOKUP(A43,'CHRIS NEW'!$A$4:$A$150,'CHRIS NEW'!$H$4:$H$150,0)</f>
        <v>3500</v>
      </c>
    </row>
    <row r="44" spans="1:9" x14ac:dyDescent="0.25">
      <c r="A44" s="68" t="s">
        <v>629</v>
      </c>
      <c r="B44" s="68" t="s">
        <v>313</v>
      </c>
      <c r="C44" s="75">
        <v>3000</v>
      </c>
      <c r="D44" s="69">
        <v>3000</v>
      </c>
      <c r="E44" s="75">
        <v>3000</v>
      </c>
      <c r="F44" s="75">
        <v>3000</v>
      </c>
      <c r="G44" s="75">
        <f>_xlfn.XLOOKUP(A44,'CHRIS NEW'!$A$4:$A$150,'CHRIS NEW'!$G$4:$G$150,0)</f>
        <v>10000</v>
      </c>
      <c r="H44" s="75">
        <f>_xlfn.XLOOKUP(A44,'CHRIS NEW'!$A$4:$A$150,'CHRIS NEW'!$H$4:$H$150,0)</f>
        <v>5000</v>
      </c>
    </row>
    <row r="45" spans="1:9" x14ac:dyDescent="0.25">
      <c r="A45" s="68" t="s">
        <v>630</v>
      </c>
      <c r="B45" s="68" t="s">
        <v>498</v>
      </c>
      <c r="C45" s="75">
        <v>0</v>
      </c>
      <c r="D45" s="69">
        <v>0</v>
      </c>
      <c r="E45" s="75">
        <v>0</v>
      </c>
      <c r="F45" s="75">
        <v>0</v>
      </c>
      <c r="G45" s="75">
        <f>_xlfn.XLOOKUP(A45,'CHRIS NEW'!$A$4:$A$150,'CHRIS NEW'!$G$4:$G$150,0)</f>
        <v>0</v>
      </c>
      <c r="H45" s="75">
        <f>_xlfn.XLOOKUP(A45,'CHRIS NEW'!$A$4:$A$150,'CHRIS NEW'!$H$4:$H$150,0)</f>
        <v>0</v>
      </c>
    </row>
    <row r="46" spans="1:9" x14ac:dyDescent="0.25">
      <c r="A46" s="68" t="s">
        <v>631</v>
      </c>
      <c r="B46" s="68" t="s">
        <v>322</v>
      </c>
      <c r="C46" s="75">
        <v>8100</v>
      </c>
      <c r="D46" s="74">
        <v>8100</v>
      </c>
      <c r="E46" s="75">
        <v>8100</v>
      </c>
      <c r="F46" s="75">
        <v>8100</v>
      </c>
      <c r="G46" s="75">
        <f>_xlfn.XLOOKUP(A46,'CHRIS NEW'!$A$4:$A$150,'CHRIS NEW'!$G$4:$G$150,0)</f>
        <v>0</v>
      </c>
      <c r="H46" s="75">
        <f>_xlfn.XLOOKUP(A46,'CHRIS NEW'!$A$4:$A$150,'CHRIS NEW'!$H$4:$H$150,0)</f>
        <v>0</v>
      </c>
      <c r="I46" s="162"/>
    </row>
    <row r="47" spans="1:9" x14ac:dyDescent="0.25">
      <c r="A47" s="68" t="s">
        <v>632</v>
      </c>
      <c r="B47" s="68" t="s">
        <v>633</v>
      </c>
      <c r="C47" s="75">
        <v>3900</v>
      </c>
      <c r="D47" s="69">
        <v>3900</v>
      </c>
      <c r="E47" s="75">
        <v>6000</v>
      </c>
      <c r="F47" s="75">
        <v>6000</v>
      </c>
      <c r="G47" s="75">
        <f>_xlfn.XLOOKUP(A47,'CHRIS NEW'!$A$4:$A$150,'CHRIS NEW'!$G$4:$G$150,0)</f>
        <v>6000</v>
      </c>
      <c r="H47" s="75">
        <f>_xlfn.XLOOKUP(A47,'CHRIS NEW'!$A$4:$A$150,'CHRIS NEW'!$H$4:$H$150,0)</f>
        <v>6000</v>
      </c>
    </row>
    <row r="48" spans="1:9" x14ac:dyDescent="0.25">
      <c r="A48" s="68" t="s">
        <v>634</v>
      </c>
      <c r="B48" s="68" t="s">
        <v>329</v>
      </c>
      <c r="C48" s="75">
        <v>1200</v>
      </c>
      <c r="D48" s="69">
        <v>1200</v>
      </c>
      <c r="E48" s="75">
        <v>1600</v>
      </c>
      <c r="F48" s="75">
        <v>1600</v>
      </c>
      <c r="G48" s="75">
        <f>_xlfn.XLOOKUP(A48,'CHRIS NEW'!$A$4:$A$150,'CHRIS NEW'!$G$4:$G$150,0)</f>
        <v>2000</v>
      </c>
      <c r="H48" s="75">
        <f>_xlfn.XLOOKUP(A48,'CHRIS NEW'!$A$4:$A$150,'CHRIS NEW'!$H$4:$H$150,0)</f>
        <v>2000</v>
      </c>
      <c r="I48" s="162"/>
    </row>
    <row r="49" spans="1:9" x14ac:dyDescent="0.25">
      <c r="A49" s="68" t="s">
        <v>635</v>
      </c>
      <c r="B49" s="68" t="s">
        <v>636</v>
      </c>
      <c r="C49" s="75">
        <v>1200</v>
      </c>
      <c r="D49" s="69">
        <v>1200</v>
      </c>
      <c r="E49" s="75">
        <v>1500</v>
      </c>
      <c r="F49" s="75">
        <v>1500</v>
      </c>
      <c r="G49" s="75">
        <f>_xlfn.XLOOKUP(A49,'CHRIS NEW'!$A$4:$A$150,'CHRIS NEW'!$G$4:$G$150,0)</f>
        <v>1500</v>
      </c>
      <c r="H49" s="75">
        <f>_xlfn.XLOOKUP(A49,'CHRIS NEW'!$A$4:$A$150,'CHRIS NEW'!$H$4:$H$150,0)</f>
        <v>1500</v>
      </c>
    </row>
    <row r="50" spans="1:9" x14ac:dyDescent="0.25">
      <c r="A50" s="68" t="s">
        <v>637</v>
      </c>
      <c r="B50" s="68" t="s">
        <v>162</v>
      </c>
      <c r="C50" s="75">
        <v>0</v>
      </c>
      <c r="D50" s="69">
        <v>0</v>
      </c>
      <c r="E50" s="75">
        <v>1000</v>
      </c>
      <c r="F50" s="75">
        <v>1000</v>
      </c>
      <c r="G50" s="75">
        <f>_xlfn.XLOOKUP(A50,'CHRIS NEW'!$A$4:$A$150,'CHRIS NEW'!$G$4:$G$150,0)</f>
        <v>1000</v>
      </c>
      <c r="H50" s="75">
        <f>_xlfn.XLOOKUP(A50,'CHRIS NEW'!$A$4:$A$150,'CHRIS NEW'!$H$4:$H$150,0)</f>
        <v>1000</v>
      </c>
      <c r="I50" s="162"/>
    </row>
    <row r="51" spans="1:9" x14ac:dyDescent="0.25">
      <c r="A51" s="68" t="s">
        <v>638</v>
      </c>
      <c r="B51" s="68" t="s">
        <v>348</v>
      </c>
      <c r="C51" s="75">
        <v>1300</v>
      </c>
      <c r="D51" s="69">
        <v>1500</v>
      </c>
      <c r="E51" s="75">
        <v>1500</v>
      </c>
      <c r="F51" s="75">
        <v>1500</v>
      </c>
      <c r="G51" s="75">
        <f>_xlfn.XLOOKUP(A51,'CHRIS NEW'!$A$4:$A$150,'CHRIS NEW'!$G$4:$G$150,0)</f>
        <v>2000</v>
      </c>
      <c r="H51" s="75">
        <f>_xlfn.XLOOKUP(A51,'CHRIS NEW'!$A$4:$A$150,'CHRIS NEW'!$H$4:$H$150,0)</f>
        <v>2000</v>
      </c>
    </row>
    <row r="52" spans="1:9" x14ac:dyDescent="0.25">
      <c r="A52" s="68" t="s">
        <v>639</v>
      </c>
      <c r="B52" s="68" t="s">
        <v>130</v>
      </c>
      <c r="C52" s="75">
        <v>40000</v>
      </c>
      <c r="D52" s="69">
        <v>40000</v>
      </c>
      <c r="E52" s="75">
        <v>100000</v>
      </c>
      <c r="F52" s="75">
        <v>100000</v>
      </c>
      <c r="G52" s="75">
        <f>_xlfn.XLOOKUP(A52,'CHRIS NEW'!$A$4:$A$150,'CHRIS NEW'!$G$4:$G$150,0)</f>
        <v>100000</v>
      </c>
      <c r="H52" s="75">
        <f>_xlfn.XLOOKUP(A52,'CHRIS NEW'!$A$4:$A$150,'CHRIS NEW'!$H$4:$H$150,0)</f>
        <v>100000</v>
      </c>
    </row>
    <row r="53" spans="1:9" x14ac:dyDescent="0.25">
      <c r="A53" s="68" t="s">
        <v>640</v>
      </c>
      <c r="B53" s="68" t="s">
        <v>132</v>
      </c>
      <c r="C53" s="75">
        <v>0</v>
      </c>
      <c r="D53" s="69">
        <v>0</v>
      </c>
      <c r="E53" s="75">
        <v>0</v>
      </c>
      <c r="F53" s="75">
        <v>0</v>
      </c>
      <c r="G53" s="75">
        <f>_xlfn.XLOOKUP(A53,'CHRIS NEW'!$A$4:$A$150,'CHRIS NEW'!$G$4:$G$150,0)</f>
        <v>0</v>
      </c>
      <c r="H53" s="75">
        <f>_xlfn.XLOOKUP(A53,'CHRIS NEW'!$A$4:$A$150,'CHRIS NEW'!$H$4:$H$150,0)</f>
        <v>0</v>
      </c>
      <c r="I53" s="162"/>
    </row>
    <row r="54" spans="1:9" x14ac:dyDescent="0.25">
      <c r="A54" s="68" t="s">
        <v>641</v>
      </c>
      <c r="B54" s="68" t="s">
        <v>642</v>
      </c>
      <c r="C54" s="75">
        <v>14000</v>
      </c>
      <c r="D54" s="69">
        <v>14000</v>
      </c>
      <c r="E54" s="75">
        <v>14000</v>
      </c>
      <c r="F54" s="75">
        <v>14000</v>
      </c>
      <c r="G54" s="75">
        <f>_xlfn.XLOOKUP(A54,'CHRIS NEW'!$A$4:$A$150,'CHRIS NEW'!$G$4:$G$150,0)</f>
        <v>14000</v>
      </c>
      <c r="H54" s="75">
        <f>_xlfn.XLOOKUP(A54,'CHRIS NEW'!$A$4:$A$150,'CHRIS NEW'!$H$4:$H$150,0)</f>
        <v>14000</v>
      </c>
    </row>
    <row r="55" spans="1:9" x14ac:dyDescent="0.25">
      <c r="A55" s="68" t="s">
        <v>643</v>
      </c>
      <c r="B55" s="68" t="s">
        <v>644</v>
      </c>
      <c r="C55" s="75">
        <v>1000</v>
      </c>
      <c r="D55" s="69">
        <v>1000</v>
      </c>
      <c r="E55" s="75">
        <v>1000</v>
      </c>
      <c r="F55" s="75">
        <v>1000</v>
      </c>
      <c r="G55" s="75">
        <f>_xlfn.XLOOKUP(A55,'CHRIS NEW'!$A$4:$A$150,'CHRIS NEW'!$G$4:$G$150,0)</f>
        <v>1000</v>
      </c>
      <c r="H55" s="75">
        <f>_xlfn.XLOOKUP(A55,'CHRIS NEW'!$A$4:$A$150,'CHRIS NEW'!$H$4:$H$150,0)</f>
        <v>7000</v>
      </c>
    </row>
    <row r="56" spans="1:9" x14ac:dyDescent="0.25">
      <c r="A56" s="68" t="s">
        <v>645</v>
      </c>
      <c r="B56" s="68" t="s">
        <v>646</v>
      </c>
      <c r="C56" s="75">
        <v>4000</v>
      </c>
      <c r="D56" s="69">
        <v>4000</v>
      </c>
      <c r="E56" s="75">
        <v>4000</v>
      </c>
      <c r="F56" s="75">
        <v>4000</v>
      </c>
      <c r="G56" s="75">
        <f>_xlfn.XLOOKUP(A56,'CHRIS NEW'!$A$4:$A$150,'CHRIS NEW'!$G$4:$G$150,0)</f>
        <v>4000</v>
      </c>
      <c r="H56" s="75">
        <f>_xlfn.XLOOKUP(A56,'CHRIS NEW'!$A$4:$A$150,'CHRIS NEW'!$H$4:$H$150,0)</f>
        <v>4000</v>
      </c>
    </row>
    <row r="57" spans="1:9" x14ac:dyDescent="0.25">
      <c r="A57" s="68" t="s">
        <v>647</v>
      </c>
      <c r="B57" s="68" t="s">
        <v>303</v>
      </c>
      <c r="C57" s="75">
        <v>0</v>
      </c>
      <c r="D57" s="69">
        <v>0</v>
      </c>
      <c r="E57" s="75">
        <v>0</v>
      </c>
      <c r="F57" s="75">
        <v>0</v>
      </c>
      <c r="G57" s="75">
        <f>_xlfn.XLOOKUP(A57,'CHRIS NEW'!$A$4:$A$150,'CHRIS NEW'!$G$4:$G$150,0)</f>
        <v>0</v>
      </c>
      <c r="H57" s="75">
        <f>_xlfn.XLOOKUP(A57,'CHRIS NEW'!$A$4:$A$150,'CHRIS NEW'!$H$4:$H$150,0)</f>
        <v>0</v>
      </c>
    </row>
    <row r="58" spans="1:9" x14ac:dyDescent="0.25">
      <c r="A58" s="68" t="s">
        <v>648</v>
      </c>
      <c r="B58" s="68" t="s">
        <v>432</v>
      </c>
      <c r="C58" s="75">
        <v>35000</v>
      </c>
      <c r="D58" s="69">
        <v>35000</v>
      </c>
      <c r="E58" s="75">
        <v>35000</v>
      </c>
      <c r="F58" s="75">
        <v>35000</v>
      </c>
      <c r="G58" s="75">
        <f>_xlfn.XLOOKUP(A58,'CHRIS NEW'!$A$4:$A$150,'CHRIS NEW'!$G$4:$G$150,0)</f>
        <v>45000</v>
      </c>
      <c r="H58" s="75">
        <f>_xlfn.XLOOKUP(A58,'CHRIS NEW'!$A$4:$A$150,'CHRIS NEW'!$H$4:$H$150,0)</f>
        <v>45000</v>
      </c>
      <c r="I58" s="162"/>
    </row>
    <row r="59" spans="1:9" x14ac:dyDescent="0.25">
      <c r="A59" s="118" t="s">
        <v>649</v>
      </c>
      <c r="B59" s="118" t="s">
        <v>650</v>
      </c>
      <c r="C59" s="75">
        <v>60000</v>
      </c>
      <c r="D59" s="119">
        <v>60000</v>
      </c>
      <c r="E59" s="75">
        <v>60000</v>
      </c>
      <c r="F59" s="75">
        <v>60000</v>
      </c>
      <c r="G59" s="75">
        <f>_xlfn.XLOOKUP(A59,'CHRIS NEW'!$A$4:$A$150,'CHRIS NEW'!$G$4:$G$150,0)</f>
        <v>60000</v>
      </c>
      <c r="H59" s="75">
        <f>_xlfn.XLOOKUP(A59,'CHRIS NEW'!$A$4:$A$150,'CHRIS NEW'!$H$4:$H$150,0)</f>
        <v>60000</v>
      </c>
    </row>
    <row r="60" spans="1:9" x14ac:dyDescent="0.25">
      <c r="A60" s="118" t="s">
        <v>651</v>
      </c>
      <c r="B60" s="118" t="s">
        <v>652</v>
      </c>
      <c r="C60" s="75">
        <v>0</v>
      </c>
      <c r="D60" s="119">
        <v>0</v>
      </c>
      <c r="E60" s="75">
        <v>0</v>
      </c>
      <c r="F60" s="75">
        <v>0</v>
      </c>
      <c r="G60" s="75">
        <f>_xlfn.XLOOKUP(A60,'CHRIS NEW'!$A$4:$A$150,'CHRIS NEW'!$G$4:$G$150,0)</f>
        <v>0</v>
      </c>
      <c r="H60" s="75">
        <f>_xlfn.XLOOKUP(A60,'CHRIS NEW'!$A$4:$A$150,'CHRIS NEW'!$H$4:$H$150,0)</f>
        <v>0</v>
      </c>
    </row>
    <row r="61" spans="1:9" x14ac:dyDescent="0.25">
      <c r="A61" s="68" t="s">
        <v>653</v>
      </c>
      <c r="B61" s="68" t="s">
        <v>654</v>
      </c>
      <c r="C61" s="75">
        <v>5712</v>
      </c>
      <c r="D61" s="69">
        <v>5712</v>
      </c>
      <c r="E61" s="75">
        <v>6500</v>
      </c>
      <c r="F61" s="75">
        <v>8000</v>
      </c>
      <c r="G61" s="75">
        <f>_xlfn.XLOOKUP(A61,'CHRIS NEW'!$A$4:$A$150,'CHRIS NEW'!$G$4:$G$150,0)</f>
        <v>22000</v>
      </c>
      <c r="H61" s="75">
        <f>_xlfn.XLOOKUP(A61,'CHRIS NEW'!$A$4:$A$150,'CHRIS NEW'!$H$4:$H$150,0)</f>
        <v>22000</v>
      </c>
    </row>
    <row r="62" spans="1:9" x14ac:dyDescent="0.25">
      <c r="A62" s="68" t="s">
        <v>655</v>
      </c>
      <c r="B62" s="68" t="s">
        <v>656</v>
      </c>
      <c r="C62" s="75">
        <v>0</v>
      </c>
      <c r="D62" s="69">
        <v>0</v>
      </c>
      <c r="E62" s="75">
        <v>0</v>
      </c>
      <c r="F62" s="75">
        <v>0</v>
      </c>
      <c r="G62" s="75">
        <f>_xlfn.XLOOKUP(A62,'CHRIS NEW'!$A$4:$A$150,'CHRIS NEW'!$G$4:$G$150,0)</f>
        <v>0</v>
      </c>
      <c r="H62" s="75">
        <f>_xlfn.XLOOKUP(A62,'CHRIS NEW'!$A$4:$A$150,'CHRIS NEW'!$H$4:$H$150,0)</f>
        <v>45000</v>
      </c>
    </row>
    <row r="63" spans="1:9" x14ac:dyDescent="0.25">
      <c r="A63" s="68" t="s">
        <v>657</v>
      </c>
      <c r="B63" s="68" t="s">
        <v>658</v>
      </c>
      <c r="C63" s="75">
        <v>2500</v>
      </c>
      <c r="D63" s="69">
        <v>2500</v>
      </c>
      <c r="E63" s="75">
        <v>6500</v>
      </c>
      <c r="F63" s="75">
        <v>6500</v>
      </c>
      <c r="G63" s="75">
        <f>_xlfn.XLOOKUP(A63,'CHRIS NEW'!$A$4:$A$150,'CHRIS NEW'!$G$4:$G$150,0)</f>
        <v>6500</v>
      </c>
      <c r="H63" s="75">
        <f>_xlfn.XLOOKUP(A63,'CHRIS NEW'!$A$4:$A$150,'CHRIS NEW'!$H$4:$H$150,0)</f>
        <v>6500</v>
      </c>
    </row>
    <row r="64" spans="1:9" x14ac:dyDescent="0.25">
      <c r="A64" s="68" t="s">
        <v>659</v>
      </c>
      <c r="B64" s="68" t="s">
        <v>537</v>
      </c>
      <c r="C64" s="75">
        <v>2800</v>
      </c>
      <c r="D64" s="69">
        <v>2800</v>
      </c>
      <c r="E64" s="75">
        <v>2800</v>
      </c>
      <c r="F64" s="75">
        <v>60000</v>
      </c>
      <c r="G64" s="75">
        <f>_xlfn.XLOOKUP(A64,'CHRIS NEW'!$A$4:$A$150,'CHRIS NEW'!$G$4:$G$150,0)</f>
        <v>60000</v>
      </c>
      <c r="H64" s="75">
        <f>_xlfn.XLOOKUP(A64,'CHRIS NEW'!$A$4:$A$150,'CHRIS NEW'!$H$4:$H$150,0)</f>
        <v>60000</v>
      </c>
    </row>
    <row r="65" spans="1:9" x14ac:dyDescent="0.25">
      <c r="A65" s="68" t="s">
        <v>660</v>
      </c>
      <c r="B65" s="68" t="s">
        <v>661</v>
      </c>
      <c r="C65" s="75">
        <v>0</v>
      </c>
      <c r="D65" s="69">
        <v>0</v>
      </c>
      <c r="E65" s="75">
        <v>0</v>
      </c>
      <c r="F65" s="75">
        <v>0</v>
      </c>
      <c r="G65" s="75">
        <f>_xlfn.XLOOKUP(A65,'CHRIS NEW'!$A$4:$A$150,'CHRIS NEW'!$G$4:$G$150,0)</f>
        <v>0</v>
      </c>
      <c r="H65" s="75">
        <f>_xlfn.XLOOKUP(A65,'CHRIS NEW'!$A$4:$A$150,'CHRIS NEW'!$H$4:$H$150,0)</f>
        <v>0</v>
      </c>
    </row>
    <row r="66" spans="1:9" x14ac:dyDescent="0.25">
      <c r="A66" s="68" t="s">
        <v>662</v>
      </c>
      <c r="B66" s="68" t="s">
        <v>663</v>
      </c>
      <c r="C66" s="75">
        <v>0</v>
      </c>
      <c r="D66" s="69">
        <v>0</v>
      </c>
      <c r="E66" s="75">
        <v>0</v>
      </c>
      <c r="F66" s="75">
        <v>0</v>
      </c>
      <c r="G66" s="75">
        <f>_xlfn.XLOOKUP(A66,'CHRIS NEW'!$A$4:$A$150,'CHRIS NEW'!$G$4:$G$150,0)</f>
        <v>0</v>
      </c>
      <c r="H66" s="75">
        <f>_xlfn.XLOOKUP(A66,'CHRIS NEW'!$A$4:$A$150,'CHRIS NEW'!$H$4:$H$150,0)</f>
        <v>0</v>
      </c>
    </row>
    <row r="67" spans="1:9" x14ac:dyDescent="0.25">
      <c r="A67" s="68" t="s">
        <v>664</v>
      </c>
      <c r="B67" s="68" t="s">
        <v>665</v>
      </c>
      <c r="C67" s="75">
        <v>256000</v>
      </c>
      <c r="D67" s="69">
        <v>256000</v>
      </c>
      <c r="E67" s="75">
        <v>256000</v>
      </c>
      <c r="F67" s="75">
        <v>256000</v>
      </c>
      <c r="G67" s="75">
        <f>_xlfn.XLOOKUP(A67,'CHRIS NEW'!$A$4:$A$150,'CHRIS NEW'!$G$4:$G$150,0)</f>
        <v>138000</v>
      </c>
      <c r="H67" s="75">
        <f>_xlfn.XLOOKUP(A67,'CHRIS NEW'!$A$4:$A$150,'CHRIS NEW'!$H$4:$H$150,0)</f>
        <v>141000</v>
      </c>
    </row>
    <row r="68" spans="1:9" x14ac:dyDescent="0.25">
      <c r="A68" s="68" t="s">
        <v>666</v>
      </c>
      <c r="B68" s="68" t="s">
        <v>667</v>
      </c>
      <c r="C68" s="75">
        <v>91558</v>
      </c>
      <c r="D68" s="69">
        <v>91558</v>
      </c>
      <c r="E68" s="75">
        <v>91558</v>
      </c>
      <c r="F68" s="75">
        <v>91558</v>
      </c>
      <c r="G68" s="75">
        <f>_xlfn.XLOOKUP(A68,'CHRIS NEW'!$A$4:$A$150,'CHRIS NEW'!$G$4:$G$150,0)</f>
        <v>22158.400000000001</v>
      </c>
      <c r="H68" s="75">
        <f>_xlfn.XLOOKUP(A68,'CHRIS NEW'!$A$4:$A$150,'CHRIS NEW'!$H$4:$H$150,0)</f>
        <v>19337.5</v>
      </c>
    </row>
    <row r="69" spans="1:9" x14ac:dyDescent="0.25">
      <c r="A69" s="68" t="s">
        <v>668</v>
      </c>
      <c r="B69" s="68" t="s">
        <v>327</v>
      </c>
      <c r="C69" s="75">
        <v>0</v>
      </c>
      <c r="D69" s="69">
        <v>0</v>
      </c>
      <c r="E69" s="75">
        <v>0</v>
      </c>
      <c r="F69" s="75">
        <v>0</v>
      </c>
      <c r="G69" s="75">
        <f>_xlfn.XLOOKUP(A69,'CHRIS NEW'!$A$4:$A$150,'CHRIS NEW'!$G$4:$G$150,0)</f>
        <v>0</v>
      </c>
      <c r="H69" s="75">
        <f>_xlfn.XLOOKUP(A69,'CHRIS NEW'!$A$4:$A$150,'CHRIS NEW'!$H$4:$H$150,0)</f>
        <v>0</v>
      </c>
    </row>
    <row r="70" spans="1:9" x14ac:dyDescent="0.25">
      <c r="A70" s="68" t="s">
        <v>669</v>
      </c>
      <c r="B70" s="68" t="s">
        <v>43</v>
      </c>
      <c r="C70" s="75">
        <v>87202</v>
      </c>
      <c r="D70" s="73">
        <v>87202</v>
      </c>
      <c r="E70" s="75">
        <v>87202</v>
      </c>
      <c r="F70" s="75">
        <v>87202</v>
      </c>
      <c r="G70" s="75">
        <f>_xlfn.XLOOKUP(A70,'CHRIS NEW'!$A$4:$A$150,'CHRIS NEW'!$G$4:$G$150,0)</f>
        <v>87202</v>
      </c>
      <c r="H70" s="75">
        <f>_xlfn.XLOOKUP(A70,'CHRIS NEW'!$A$4:$A$150,'CHRIS NEW'!$H$4:$H$150,0)</f>
        <v>87202</v>
      </c>
    </row>
    <row r="71" spans="1:9" x14ac:dyDescent="0.25">
      <c r="A71" s="201" t="s">
        <v>670</v>
      </c>
      <c r="B71" s="201" t="s">
        <v>671</v>
      </c>
      <c r="C71" s="75">
        <v>0</v>
      </c>
      <c r="D71" s="73">
        <v>0</v>
      </c>
      <c r="E71" s="202">
        <v>0</v>
      </c>
      <c r="F71" s="202">
        <v>0</v>
      </c>
      <c r="G71" s="202">
        <f>_xlfn.XLOOKUP(A71,'CHRIS NEW'!$A$4:$A$150,'CHRIS NEW'!$G$4:$G$150,0)</f>
        <v>0</v>
      </c>
      <c r="H71" s="202">
        <f>_xlfn.XLOOKUP(A71,'CHRIS NEW'!$A$4:$A$150,'CHRIS NEW'!$H$4:$H$150,0)</f>
        <v>0</v>
      </c>
    </row>
    <row r="72" spans="1:9" x14ac:dyDescent="0.25">
      <c r="A72" s="201" t="s">
        <v>672</v>
      </c>
      <c r="B72" s="201" t="s">
        <v>344</v>
      </c>
      <c r="C72" s="75">
        <v>3800000</v>
      </c>
      <c r="D72" s="73">
        <v>3905500</v>
      </c>
      <c r="E72" s="203">
        <f>'26 Capital Budget'!I38</f>
        <v>2460500</v>
      </c>
      <c r="F72" s="203">
        <f>'26 Capital Budget'!J38</f>
        <v>1120000</v>
      </c>
      <c r="G72" s="202">
        <f>_xlfn.XLOOKUP(A72,'CHRIS NEW'!$A$4:$A$150,'CHRIS NEW'!$G$4:$G$150,0)</f>
        <v>1120000</v>
      </c>
      <c r="H72" s="203">
        <f>_xlfn.XLOOKUP(A72,'CHRIS NEW'!$A$4:$A$150,'CHRIS NEW'!$H$4:$H$150,0)</f>
        <v>1590000</v>
      </c>
    </row>
    <row r="73" spans="1:9" x14ac:dyDescent="0.25">
      <c r="A73" s="201" t="s">
        <v>673</v>
      </c>
      <c r="B73" s="201" t="s">
        <v>674</v>
      </c>
      <c r="C73" s="75">
        <v>0</v>
      </c>
      <c r="D73" s="73">
        <v>0</v>
      </c>
      <c r="E73" s="202">
        <v>0</v>
      </c>
      <c r="F73" s="202">
        <v>0</v>
      </c>
      <c r="G73" s="202">
        <f>_xlfn.XLOOKUP(A73,'CHRIS NEW'!$A$4:$A$150,'CHRIS NEW'!$G$4:$G$150,0)</f>
        <v>0</v>
      </c>
      <c r="H73" s="202">
        <f>_xlfn.XLOOKUP(A73,'CHRIS NEW'!$A$4:$A$150,'CHRIS NEW'!$H$4:$H$150,0)</f>
        <v>0</v>
      </c>
    </row>
    <row r="74" spans="1:9" x14ac:dyDescent="0.25">
      <c r="A74" s="68" t="s">
        <v>675</v>
      </c>
      <c r="B74" s="68" t="s">
        <v>348</v>
      </c>
      <c r="C74" s="75">
        <v>0</v>
      </c>
      <c r="D74" s="73">
        <v>0</v>
      </c>
      <c r="E74" s="75">
        <v>0</v>
      </c>
      <c r="F74" s="75">
        <v>0</v>
      </c>
      <c r="G74" s="75">
        <f>_xlfn.XLOOKUP(A74,'CHRIS NEW'!$A$4:$A$150,'CHRIS NEW'!$G$4:$G$150,0)</f>
        <v>0</v>
      </c>
      <c r="H74" s="75">
        <f>_xlfn.XLOOKUP(A74,'CHRIS NEW'!$A$4:$A$150,'CHRIS NEW'!$H$4:$H$150,0)</f>
        <v>0</v>
      </c>
    </row>
    <row r="75" spans="1:9" ht="15.75" thickBot="1" x14ac:dyDescent="0.3">
      <c r="A75" s="167" t="s">
        <v>676</v>
      </c>
      <c r="B75" s="167" t="s">
        <v>164</v>
      </c>
      <c r="C75" s="168">
        <v>0</v>
      </c>
      <c r="D75" s="169">
        <v>0</v>
      </c>
      <c r="E75" s="168">
        <v>0</v>
      </c>
      <c r="F75" s="168">
        <v>0</v>
      </c>
      <c r="G75" s="168">
        <f>_xlfn.XLOOKUP(A75,'CHRIS NEW'!$A$4:$A$150,'CHRIS NEW'!$G$4:$G$150,0)</f>
        <v>0</v>
      </c>
      <c r="H75" s="168">
        <f>_xlfn.XLOOKUP(A75,'CHRIS NEW'!$A$4:$A$150,'CHRIS NEW'!$H$4:$H$150,0)</f>
        <v>0</v>
      </c>
      <c r="I75" s="88"/>
    </row>
    <row r="76" spans="1:9" x14ac:dyDescent="0.25">
      <c r="A76" s="164" t="s">
        <v>717</v>
      </c>
      <c r="B76" s="164" t="s">
        <v>718</v>
      </c>
      <c r="C76" s="165">
        <v>5183000</v>
      </c>
      <c r="D76" s="166">
        <v>8183000</v>
      </c>
      <c r="E76" s="165">
        <v>8183000</v>
      </c>
      <c r="F76" s="165">
        <v>0</v>
      </c>
      <c r="G76" s="165">
        <f>_xlfn.XLOOKUP(A76,'CHRIS NEW'!$A$4:$A$150,'CHRIS NEW'!$G$4:$G$150,0)</f>
        <v>2619841.59</v>
      </c>
      <c r="H76" s="165">
        <f>_xlfn.XLOOKUP(A76,'CHRIS NEW'!$A$4:$A$150,'CHRIS NEW'!$H$4:$H$150,0)</f>
        <v>0</v>
      </c>
    </row>
    <row r="77" spans="1:9" x14ac:dyDescent="0.25">
      <c r="A77" s="68" t="s">
        <v>719</v>
      </c>
      <c r="B77" s="68" t="s">
        <v>720</v>
      </c>
      <c r="C77" s="75">
        <v>685000</v>
      </c>
      <c r="D77" s="69">
        <v>685000</v>
      </c>
      <c r="E77" s="75">
        <v>685000</v>
      </c>
      <c r="F77" s="75">
        <v>685000</v>
      </c>
      <c r="G77" s="75">
        <f>_xlfn.XLOOKUP(A77,'CHRIS NEW'!$A$4:$A$150,'CHRIS NEW'!$G$4:$G$150,0)</f>
        <v>685000</v>
      </c>
      <c r="H77" s="75">
        <f>_xlfn.XLOOKUP(A77,'CHRIS NEW'!$A$4:$A$150,'CHRIS NEW'!$H$4:$H$150,0)</f>
        <v>685000</v>
      </c>
    </row>
    <row r="78" spans="1:9" x14ac:dyDescent="0.25">
      <c r="A78" s="68" t="s">
        <v>721</v>
      </c>
      <c r="B78" s="68" t="s">
        <v>256</v>
      </c>
      <c r="C78" s="75">
        <v>0</v>
      </c>
      <c r="D78" s="69">
        <v>0</v>
      </c>
      <c r="E78" s="75">
        <v>0</v>
      </c>
      <c r="F78" s="75">
        <v>0</v>
      </c>
      <c r="G78" s="75">
        <f>_xlfn.XLOOKUP(A78,'CHRIS NEW'!$A$4:$A$150,'CHRIS NEW'!$G$4:$G$150,0)</f>
        <v>0</v>
      </c>
      <c r="H78" s="75">
        <f>_xlfn.XLOOKUP(A78,'CHRIS NEW'!$A$4:$A$150,'CHRIS NEW'!$H$4:$H$150,0)</f>
        <v>0</v>
      </c>
    </row>
    <row r="79" spans="1:9" x14ac:dyDescent="0.25">
      <c r="A79" s="68" t="s">
        <v>722</v>
      </c>
      <c r="B79" s="68" t="s">
        <v>99</v>
      </c>
      <c r="C79" s="75">
        <v>480</v>
      </c>
      <c r="D79" s="74">
        <v>480</v>
      </c>
      <c r="E79" s="75">
        <v>480</v>
      </c>
      <c r="F79" s="75">
        <v>480</v>
      </c>
      <c r="G79" s="75">
        <f>_xlfn.XLOOKUP(A79,'CHRIS NEW'!$A$4:$A$150,'CHRIS NEW'!$G$4:$G$150,0)</f>
        <v>480</v>
      </c>
      <c r="H79" s="75">
        <f>_xlfn.XLOOKUP(A79,'CHRIS NEW'!$A$4:$A$150,'CHRIS NEW'!$H$4:$H$150,0)</f>
        <v>480</v>
      </c>
    </row>
    <row r="80" spans="1:9" x14ac:dyDescent="0.25">
      <c r="A80" s="68" t="s">
        <v>723</v>
      </c>
      <c r="B80" s="68" t="s">
        <v>467</v>
      </c>
      <c r="C80" s="75">
        <v>240000</v>
      </c>
      <c r="D80" s="69">
        <v>240000</v>
      </c>
      <c r="E80" s="75">
        <v>240000</v>
      </c>
      <c r="F80" s="75">
        <v>50000</v>
      </c>
      <c r="G80" s="75">
        <f>_xlfn.XLOOKUP(A80,'CHRIS NEW'!$A$4:$A$150,'CHRIS NEW'!$G$4:$G$150,0)</f>
        <v>50000</v>
      </c>
      <c r="H80" s="75">
        <f>_xlfn.XLOOKUP(A80,'CHRIS NEW'!$A$4:$A$150,'CHRIS NEW'!$H$4:$H$150,0)</f>
        <v>50000</v>
      </c>
    </row>
    <row r="81" spans="1:8" x14ac:dyDescent="0.25">
      <c r="A81" s="68" t="s">
        <v>724</v>
      </c>
      <c r="B81" s="68" t="s">
        <v>267</v>
      </c>
      <c r="C81" s="75">
        <v>0</v>
      </c>
      <c r="D81" s="69">
        <v>0</v>
      </c>
      <c r="E81" s="75">
        <v>0</v>
      </c>
      <c r="F81" s="75">
        <v>0</v>
      </c>
      <c r="G81" s="75">
        <f>_xlfn.XLOOKUP(A81,'CHRIS NEW'!$A$4:$A$150,'CHRIS NEW'!$G$4:$G$150,0)</f>
        <v>0</v>
      </c>
      <c r="H81" s="75">
        <f>_xlfn.XLOOKUP(A81,'CHRIS NEW'!$A$4:$A$150,'CHRIS NEW'!$H$4:$H$150,0)</f>
        <v>0</v>
      </c>
    </row>
    <row r="82" spans="1:8" x14ac:dyDescent="0.25">
      <c r="A82" s="68" t="s">
        <v>725</v>
      </c>
      <c r="B82" s="68" t="s">
        <v>726</v>
      </c>
      <c r="C82" s="75">
        <v>0</v>
      </c>
      <c r="D82" s="69">
        <v>0</v>
      </c>
      <c r="E82" s="75">
        <v>0</v>
      </c>
      <c r="F82" s="75">
        <v>0</v>
      </c>
      <c r="G82" s="75">
        <f>_xlfn.XLOOKUP(A82,'CHRIS NEW'!$A$4:$A$150,'CHRIS NEW'!$G$4:$G$150,0)</f>
        <v>0</v>
      </c>
      <c r="H82" s="75">
        <f>_xlfn.XLOOKUP(A82,'CHRIS NEW'!$A$4:$A$150,'CHRIS NEW'!$H$4:$H$150,0)</f>
        <v>0</v>
      </c>
    </row>
    <row r="83" spans="1:8" x14ac:dyDescent="0.25">
      <c r="A83" s="68" t="s">
        <v>727</v>
      </c>
      <c r="B83" s="68" t="s">
        <v>106</v>
      </c>
      <c r="C83" s="75">
        <v>0</v>
      </c>
      <c r="D83" s="69">
        <v>0</v>
      </c>
      <c r="E83" s="75">
        <v>0</v>
      </c>
      <c r="F83" s="75">
        <v>0</v>
      </c>
      <c r="G83" s="75">
        <f>_xlfn.XLOOKUP(A83,'CHRIS NEW'!$A$4:$A$150,'CHRIS NEW'!$G$4:$G$150,0)</f>
        <v>0</v>
      </c>
      <c r="H83" s="75">
        <f>_xlfn.XLOOKUP(A83,'CHRIS NEW'!$A$4:$A$150,'CHRIS NEW'!$H$4:$H$150,0)</f>
        <v>0</v>
      </c>
    </row>
    <row r="84" spans="1:8" x14ac:dyDescent="0.25">
      <c r="A84" s="68" t="s">
        <v>728</v>
      </c>
      <c r="B84" s="68" t="s">
        <v>729</v>
      </c>
      <c r="C84" s="75">
        <v>0</v>
      </c>
      <c r="D84" s="69">
        <v>0</v>
      </c>
      <c r="E84" s="75">
        <v>0</v>
      </c>
      <c r="F84" s="75">
        <v>0</v>
      </c>
      <c r="G84" s="75">
        <f>_xlfn.XLOOKUP(A84,'CHRIS NEW'!$A$4:$A$150,'CHRIS NEW'!$G$4:$G$150,0)</f>
        <v>0</v>
      </c>
      <c r="H84" s="75">
        <f>_xlfn.XLOOKUP(A84,'CHRIS NEW'!$A$4:$A$150,'CHRIS NEW'!$H$4:$H$150,0)</f>
        <v>0</v>
      </c>
    </row>
    <row r="85" spans="1:8" x14ac:dyDescent="0.25">
      <c r="A85" s="68" t="s">
        <v>730</v>
      </c>
      <c r="B85" s="68" t="s">
        <v>476</v>
      </c>
      <c r="C85" s="75">
        <v>0</v>
      </c>
      <c r="D85" s="69">
        <v>0</v>
      </c>
      <c r="E85" s="75">
        <v>0</v>
      </c>
      <c r="F85" s="75">
        <v>0</v>
      </c>
      <c r="G85" s="75">
        <f>_xlfn.XLOOKUP(A85,'CHRIS NEW'!$A$4:$A$150,'CHRIS NEW'!$G$4:$G$150,0)</f>
        <v>0</v>
      </c>
      <c r="H85" s="75">
        <f>_xlfn.XLOOKUP(A85,'CHRIS NEW'!$A$4:$A$150,'CHRIS NEW'!$H$4:$H$150,0)</f>
        <v>0</v>
      </c>
    </row>
    <row r="86" spans="1:8" x14ac:dyDescent="0.25">
      <c r="A86" s="68" t="s">
        <v>731</v>
      </c>
      <c r="B86" s="68" t="s">
        <v>478</v>
      </c>
      <c r="C86" s="75">
        <v>0</v>
      </c>
      <c r="D86" s="69">
        <v>0</v>
      </c>
      <c r="E86" s="75">
        <v>0</v>
      </c>
      <c r="F86" s="75">
        <v>0</v>
      </c>
      <c r="G86" s="75">
        <f>_xlfn.XLOOKUP(A86,'CHRIS NEW'!$A$4:$A$150,'CHRIS NEW'!$G$4:$G$150,0)</f>
        <v>0</v>
      </c>
      <c r="H86" s="75">
        <f>_xlfn.XLOOKUP(A86,'CHRIS NEW'!$A$4:$A$150,'CHRIS NEW'!$H$4:$H$150,0)</f>
        <v>0</v>
      </c>
    </row>
    <row r="87" spans="1:8" x14ac:dyDescent="0.25">
      <c r="A87" s="68" t="s">
        <v>732</v>
      </c>
      <c r="B87" s="68" t="s">
        <v>480</v>
      </c>
      <c r="C87" s="75">
        <v>0</v>
      </c>
      <c r="D87" s="74">
        <v>0</v>
      </c>
      <c r="E87" s="75">
        <v>0</v>
      </c>
      <c r="F87" s="75">
        <v>0</v>
      </c>
      <c r="G87" s="75">
        <f>_xlfn.XLOOKUP(A87,'CHRIS NEW'!$A$4:$A$150,'CHRIS NEW'!$G$4:$G$150,0)</f>
        <v>0</v>
      </c>
      <c r="H87" s="75">
        <f>_xlfn.XLOOKUP(A87,'CHRIS NEW'!$A$4:$A$150,'CHRIS NEW'!$H$4:$H$150,0)</f>
        <v>0</v>
      </c>
    </row>
    <row r="88" spans="1:8" x14ac:dyDescent="0.25">
      <c r="A88" s="201" t="s">
        <v>733</v>
      </c>
      <c r="B88" s="201" t="s">
        <v>734</v>
      </c>
      <c r="C88" s="202">
        <v>240280</v>
      </c>
      <c r="D88" s="202">
        <v>221514.31</v>
      </c>
      <c r="E88" s="202">
        <v>221514.31</v>
      </c>
      <c r="F88" s="204">
        <f>_xlfn.XLOOKUP(A88,'2026 Salaries and Benefits'!$B$54:$G$54,'2026 Salaries and Benefits'!$B$66:$G$66,0)</f>
        <v>258650.34900000002</v>
      </c>
      <c r="G88" s="204">
        <f>_xlfn.XLOOKUP(A88,'CHRIS NEW'!$A$4:$A$150,'CHRIS NEW'!$G$4:$G$150,0)</f>
        <v>258650.34900000002</v>
      </c>
      <c r="H88" s="204">
        <f>'2027 Salaries and Benefits'!B64</f>
        <v>210153.56189999994</v>
      </c>
    </row>
    <row r="89" spans="1:8" x14ac:dyDescent="0.25">
      <c r="A89" s="201" t="s">
        <v>735</v>
      </c>
      <c r="B89" s="201" t="s">
        <v>104</v>
      </c>
      <c r="C89" s="202">
        <v>18381</v>
      </c>
      <c r="D89" s="202">
        <v>16945.844714999999</v>
      </c>
      <c r="E89" s="202">
        <v>16945.844714999999</v>
      </c>
      <c r="F89" s="204">
        <f>_xlfn.XLOOKUP(A89,'2026 Salaries and Benefits'!$B$54:$G$54,'2026 Salaries and Benefits'!$B$66:$G$66,0)</f>
        <v>19786.7516985</v>
      </c>
      <c r="G89" s="204">
        <f>_xlfn.XLOOKUP(A89,'CHRIS NEW'!$A$4:$A$150,'CHRIS NEW'!$G$4:$G$150,0)</f>
        <v>19786.7516985</v>
      </c>
      <c r="H89" s="204">
        <f>'2027 Salaries and Benefits'!C64</f>
        <v>16076.747485349995</v>
      </c>
    </row>
    <row r="90" spans="1:8" x14ac:dyDescent="0.25">
      <c r="A90" s="201" t="s">
        <v>736</v>
      </c>
      <c r="B90" s="201" t="s">
        <v>106</v>
      </c>
      <c r="C90" s="202">
        <v>30000</v>
      </c>
      <c r="D90" s="202">
        <v>31944.720000000001</v>
      </c>
      <c r="E90" s="202">
        <v>31944.720000000001</v>
      </c>
      <c r="F90" s="204">
        <f>_xlfn.XLOOKUP(A90,'2026 Salaries and Benefits'!$B$54:$G$54,'2026 Salaries and Benefits'!$B$66:$G$66,0)</f>
        <v>38885.520000000004</v>
      </c>
      <c r="G90" s="204">
        <f>_xlfn.XLOOKUP(A90,'CHRIS NEW'!$A$4:$A$150,'CHRIS NEW'!$G$4:$G$150,0)</f>
        <v>38885.520000000004</v>
      </c>
      <c r="H90" s="204">
        <f>'2027 Salaries and Benefits'!D64</f>
        <v>30695.847519999999</v>
      </c>
    </row>
    <row r="91" spans="1:8" x14ac:dyDescent="0.25">
      <c r="A91" s="201" t="s">
        <v>737</v>
      </c>
      <c r="B91" s="201" t="s">
        <v>108</v>
      </c>
      <c r="C91" s="202">
        <v>43335</v>
      </c>
      <c r="D91" s="202">
        <v>50232.110999999997</v>
      </c>
      <c r="E91" s="202">
        <v>50232.110999999997</v>
      </c>
      <c r="F91" s="204">
        <f>_xlfn.XLOOKUP(A91,'2026 Salaries and Benefits'!$B$54:$G$54,'2026 Salaries and Benefits'!$B$66:$G$66,0)</f>
        <v>53023.255799999999</v>
      </c>
      <c r="G91" s="204">
        <f>_xlfn.XLOOKUP(A91,'CHRIS NEW'!$A$4:$A$150,'CHRIS NEW'!$G$4:$G$150,0)</f>
        <v>53023.255799999999</v>
      </c>
      <c r="H91" s="204">
        <f>'2027 Salaries and Benefits'!E64</f>
        <v>114383.75237599999</v>
      </c>
    </row>
    <row r="92" spans="1:8" x14ac:dyDescent="0.25">
      <c r="A92" s="201" t="s">
        <v>738</v>
      </c>
      <c r="B92" s="201" t="s">
        <v>110</v>
      </c>
      <c r="C92" s="202">
        <v>6099</v>
      </c>
      <c r="D92" s="202">
        <v>4262.7552000000005</v>
      </c>
      <c r="E92" s="202">
        <v>4262.7552000000005</v>
      </c>
      <c r="F92" s="204">
        <f>_xlfn.XLOOKUP(A92,'2026 Salaries and Benefits'!$B$54:$G$54,'2026 Salaries and Benefits'!$B$66:$G$66,0)</f>
        <v>4985.4406399999998</v>
      </c>
      <c r="G92" s="204">
        <f>_xlfn.XLOOKUP(A92,'CHRIS NEW'!$A$4:$A$150,'CHRIS NEW'!$G$4:$G$150,0)</f>
        <v>4985.4406399999998</v>
      </c>
      <c r="H92" s="204">
        <f>'2027 Salaries and Benefits'!F64</f>
        <v>4006.0952379999999</v>
      </c>
    </row>
    <row r="93" spans="1:8" x14ac:dyDescent="0.25">
      <c r="A93" s="201" t="s">
        <v>739</v>
      </c>
      <c r="B93" s="201" t="s">
        <v>112</v>
      </c>
      <c r="C93" s="202">
        <v>8000</v>
      </c>
      <c r="D93" s="202">
        <v>0</v>
      </c>
      <c r="E93" s="202">
        <v>10000</v>
      </c>
      <c r="F93" s="202">
        <v>0</v>
      </c>
      <c r="G93" s="202">
        <f>_xlfn.XLOOKUP(A93,'CHRIS NEW'!$A$4:$A$150,'CHRIS NEW'!$G$4:$G$150,0)</f>
        <v>0</v>
      </c>
      <c r="H93" s="202">
        <f>_xlfn.XLOOKUP(A93,'CHRIS NEW'!$A$4:$A$150,'CHRIS NEW'!$H$4:$H$150,0)</f>
        <v>0</v>
      </c>
    </row>
    <row r="94" spans="1:8" x14ac:dyDescent="0.25">
      <c r="A94" s="201" t="s">
        <v>740</v>
      </c>
      <c r="B94" s="201" t="s">
        <v>114</v>
      </c>
      <c r="C94" s="202">
        <v>99</v>
      </c>
      <c r="D94" s="202">
        <v>72</v>
      </c>
      <c r="E94" s="202">
        <v>72</v>
      </c>
      <c r="F94" s="204">
        <f>_xlfn.XLOOKUP(A94,'2026 Salaries and Benefits'!$B$54:$G$54,'2026 Salaries and Benefits'!$B$66:$G$66,0)</f>
        <v>76.800000000000011</v>
      </c>
      <c r="G94" s="204">
        <f>_xlfn.XLOOKUP(A94,'CHRIS NEW'!$A$4:$A$150,'CHRIS NEW'!$G$4:$G$150,0)</f>
        <v>76.800000000000011</v>
      </c>
      <c r="H94" s="204">
        <f>'2027 Salaries and Benefits'!G64</f>
        <v>134.40000000000003</v>
      </c>
    </row>
    <row r="95" spans="1:8" x14ac:dyDescent="0.25">
      <c r="A95" s="118" t="s">
        <v>741</v>
      </c>
      <c r="B95" s="118" t="s">
        <v>276</v>
      </c>
      <c r="C95" s="75">
        <v>550</v>
      </c>
      <c r="D95" s="119">
        <v>0</v>
      </c>
      <c r="E95" s="75">
        <v>600</v>
      </c>
      <c r="F95" s="75">
        <v>600</v>
      </c>
      <c r="G95" s="75">
        <f>_xlfn.XLOOKUP(A95,'CHRIS NEW'!$A$4:$A$150,'CHRIS NEW'!$G$4:$G$150,0)</f>
        <v>600</v>
      </c>
      <c r="H95" s="75">
        <f>_xlfn.XLOOKUP(A95,'CHRIS NEW'!$A$4:$A$150,'CHRIS NEW'!$H$4:$H$150,0)</f>
        <v>600</v>
      </c>
    </row>
    <row r="96" spans="1:8" x14ac:dyDescent="0.25">
      <c r="A96" s="68" t="s">
        <v>742</v>
      </c>
      <c r="B96" s="68" t="s">
        <v>278</v>
      </c>
      <c r="C96" s="75">
        <v>0</v>
      </c>
      <c r="D96" s="69">
        <v>0</v>
      </c>
      <c r="E96" s="75">
        <v>0</v>
      </c>
      <c r="F96" s="75">
        <v>0</v>
      </c>
      <c r="G96" s="75">
        <f>_xlfn.XLOOKUP(A96,'CHRIS NEW'!$A$4:$A$150,'CHRIS NEW'!$G$4:$G$150,0)</f>
        <v>0</v>
      </c>
      <c r="H96" s="75">
        <f>_xlfn.XLOOKUP(A96,'CHRIS NEW'!$A$4:$A$150,'CHRIS NEW'!$H$4:$H$150,0)</f>
        <v>0</v>
      </c>
    </row>
    <row r="97" spans="1:8" x14ac:dyDescent="0.25">
      <c r="A97" s="68" t="s">
        <v>743</v>
      </c>
      <c r="B97" s="68" t="s">
        <v>280</v>
      </c>
      <c r="C97" s="75">
        <v>5500</v>
      </c>
      <c r="D97" s="69">
        <v>5500</v>
      </c>
      <c r="E97" s="75">
        <v>7000</v>
      </c>
      <c r="F97" s="75">
        <v>7000</v>
      </c>
      <c r="G97" s="75">
        <f>_xlfn.XLOOKUP(A97,'CHRIS NEW'!$A$4:$A$150,'CHRIS NEW'!$G$4:$G$150,0)</f>
        <v>7000</v>
      </c>
      <c r="H97" s="75">
        <f>_xlfn.XLOOKUP(A97,'CHRIS NEW'!$A$4:$A$150,'CHRIS NEW'!$H$4:$H$150,0)</f>
        <v>7000</v>
      </c>
    </row>
    <row r="98" spans="1:8" x14ac:dyDescent="0.25">
      <c r="A98" s="68" t="s">
        <v>744</v>
      </c>
      <c r="B98" s="68" t="s">
        <v>120</v>
      </c>
      <c r="C98" s="75">
        <v>5300</v>
      </c>
      <c r="D98" s="69">
        <v>2800</v>
      </c>
      <c r="E98" s="75">
        <v>2800</v>
      </c>
      <c r="F98" s="75">
        <v>2800</v>
      </c>
      <c r="G98" s="75">
        <f>_xlfn.XLOOKUP(A98,'CHRIS NEW'!$A$4:$A$150,'CHRIS NEW'!$G$4:$G$150,0)</f>
        <v>12000</v>
      </c>
      <c r="H98" s="75">
        <f>_xlfn.XLOOKUP(A98,'CHRIS NEW'!$A$4:$A$150,'CHRIS NEW'!$H$4:$H$150,0)</f>
        <v>12000</v>
      </c>
    </row>
    <row r="99" spans="1:8" x14ac:dyDescent="0.25">
      <c r="A99" s="68" t="s">
        <v>745</v>
      </c>
      <c r="B99" s="68" t="s">
        <v>124</v>
      </c>
      <c r="C99" s="75">
        <v>10000</v>
      </c>
      <c r="D99" s="69">
        <v>10000</v>
      </c>
      <c r="E99" s="75">
        <v>10000</v>
      </c>
      <c r="F99" s="75">
        <v>10000</v>
      </c>
      <c r="G99" s="75">
        <f>_xlfn.XLOOKUP(A99,'CHRIS NEW'!$A$4:$A$150,'CHRIS NEW'!$G$4:$G$150,0)</f>
        <v>10000</v>
      </c>
      <c r="H99" s="75">
        <f>_xlfn.XLOOKUP(A99,'CHRIS NEW'!$A$4:$A$150,'CHRIS NEW'!$H$4:$H$150,0)</f>
        <v>10000</v>
      </c>
    </row>
    <row r="100" spans="1:8" x14ac:dyDescent="0.25">
      <c r="A100" s="68" t="s">
        <v>746</v>
      </c>
      <c r="B100" s="68" t="s">
        <v>126</v>
      </c>
      <c r="C100" s="75">
        <v>8000</v>
      </c>
      <c r="D100" s="69">
        <v>8000</v>
      </c>
      <c r="E100" s="75">
        <v>8000</v>
      </c>
      <c r="F100" s="75">
        <v>8000</v>
      </c>
      <c r="G100" s="75">
        <f>_xlfn.XLOOKUP(A100,'CHRIS NEW'!$A$4:$A$150,'CHRIS NEW'!$G$4:$G$150,0)</f>
        <v>8000</v>
      </c>
      <c r="H100" s="75">
        <f>_xlfn.XLOOKUP(A100,'CHRIS NEW'!$A$4:$A$150,'CHRIS NEW'!$H$4:$H$150,0)</f>
        <v>8000</v>
      </c>
    </row>
    <row r="101" spans="1:8" x14ac:dyDescent="0.25">
      <c r="A101" s="68" t="s">
        <v>747</v>
      </c>
      <c r="B101" s="68" t="s">
        <v>287</v>
      </c>
      <c r="C101" s="75">
        <v>6000</v>
      </c>
      <c r="D101" s="69">
        <v>6000</v>
      </c>
      <c r="E101" s="75">
        <v>6000</v>
      </c>
      <c r="F101" s="75">
        <v>6000</v>
      </c>
      <c r="G101" s="75">
        <f>_xlfn.XLOOKUP(A101,'CHRIS NEW'!$A$4:$A$150,'CHRIS NEW'!$G$4:$G$150,0)</f>
        <v>6000</v>
      </c>
      <c r="H101" s="75">
        <f>_xlfn.XLOOKUP(A101,'CHRIS NEW'!$A$4:$A$150,'CHRIS NEW'!$H$4:$H$150,0)</f>
        <v>6000</v>
      </c>
    </row>
    <row r="102" spans="1:8" x14ac:dyDescent="0.25">
      <c r="A102" s="68" t="s">
        <v>748</v>
      </c>
      <c r="B102" s="68" t="s">
        <v>132</v>
      </c>
      <c r="C102" s="75">
        <v>10000</v>
      </c>
      <c r="D102" s="69">
        <v>10000</v>
      </c>
      <c r="E102" s="75">
        <v>100000</v>
      </c>
      <c r="F102" s="75">
        <v>100000</v>
      </c>
      <c r="G102" s="75">
        <f>_xlfn.XLOOKUP(A102,'CHRIS NEW'!$A$4:$A$150,'CHRIS NEW'!$G$4:$G$150,0)</f>
        <v>100000</v>
      </c>
      <c r="H102" s="75">
        <f>_xlfn.XLOOKUP(A102,'CHRIS NEW'!$A$4:$A$150,'CHRIS NEW'!$H$4:$H$150,0)</f>
        <v>100000</v>
      </c>
    </row>
    <row r="103" spans="1:8" x14ac:dyDescent="0.25">
      <c r="A103" s="68" t="s">
        <v>749</v>
      </c>
      <c r="B103" s="68" t="s">
        <v>291</v>
      </c>
      <c r="C103" s="75">
        <v>500</v>
      </c>
      <c r="D103" s="69">
        <v>500</v>
      </c>
      <c r="E103" s="75">
        <v>500</v>
      </c>
      <c r="F103" s="75">
        <v>500</v>
      </c>
      <c r="G103" s="75">
        <f>_xlfn.XLOOKUP(A103,'CHRIS NEW'!$A$4:$A$150,'CHRIS NEW'!$G$4:$G$150,0)</f>
        <v>500</v>
      </c>
      <c r="H103" s="75">
        <f>_xlfn.XLOOKUP(A103,'CHRIS NEW'!$A$4:$A$150,'CHRIS NEW'!$H$4:$H$150,0)</f>
        <v>500</v>
      </c>
    </row>
    <row r="104" spans="1:8" x14ac:dyDescent="0.25">
      <c r="A104" s="68" t="s">
        <v>750</v>
      </c>
      <c r="B104" s="68" t="s">
        <v>295</v>
      </c>
      <c r="C104" s="75">
        <v>0</v>
      </c>
      <c r="D104" s="74">
        <v>0</v>
      </c>
      <c r="E104" s="75">
        <v>0</v>
      </c>
      <c r="F104" s="75">
        <v>0</v>
      </c>
      <c r="G104" s="75">
        <f>_xlfn.XLOOKUP(A104,'CHRIS NEW'!$A$4:$A$150,'CHRIS NEW'!$G$4:$G$150,0)</f>
        <v>0</v>
      </c>
      <c r="H104" s="75">
        <f>_xlfn.XLOOKUP(A104,'CHRIS NEW'!$A$4:$A$150,'CHRIS NEW'!$H$4:$H$150,0)</f>
        <v>0</v>
      </c>
    </row>
    <row r="105" spans="1:8" x14ac:dyDescent="0.25">
      <c r="A105" s="68" t="s">
        <v>751</v>
      </c>
      <c r="B105" s="68" t="s">
        <v>297</v>
      </c>
      <c r="C105" s="75">
        <v>6500</v>
      </c>
      <c r="D105" s="74">
        <v>6500</v>
      </c>
      <c r="E105" s="75">
        <v>6500</v>
      </c>
      <c r="F105" s="75">
        <v>6500</v>
      </c>
      <c r="G105" s="75">
        <f>_xlfn.XLOOKUP(A105,'CHRIS NEW'!$A$4:$A$150,'CHRIS NEW'!$G$4:$G$150,0)</f>
        <v>6500</v>
      </c>
      <c r="H105" s="75">
        <f>_xlfn.XLOOKUP(A105,'CHRIS NEW'!$A$4:$A$150,'CHRIS NEW'!$H$4:$H$150,0)</f>
        <v>6500</v>
      </c>
    </row>
    <row r="106" spans="1:8" x14ac:dyDescent="0.25">
      <c r="A106" s="68" t="s">
        <v>752</v>
      </c>
      <c r="B106" s="68" t="s">
        <v>303</v>
      </c>
      <c r="C106" s="75">
        <v>13800</v>
      </c>
      <c r="D106" s="69">
        <v>13800</v>
      </c>
      <c r="E106" s="75">
        <v>20000</v>
      </c>
      <c r="F106" s="75">
        <v>20000</v>
      </c>
      <c r="G106" s="75">
        <f>_xlfn.XLOOKUP(A106,'CHRIS NEW'!$A$4:$A$150,'CHRIS NEW'!$G$4:$G$150,0)</f>
        <v>20000</v>
      </c>
      <c r="H106" s="75">
        <f>_xlfn.XLOOKUP(A106,'CHRIS NEW'!$A$4:$A$150,'CHRIS NEW'!$H$4:$H$150,0)</f>
        <v>20000</v>
      </c>
    </row>
    <row r="107" spans="1:8" x14ac:dyDescent="0.25">
      <c r="A107" s="68" t="s">
        <v>753</v>
      </c>
      <c r="B107" s="68" t="s">
        <v>754</v>
      </c>
      <c r="C107" s="75">
        <v>1850</v>
      </c>
      <c r="D107" s="69">
        <v>1000</v>
      </c>
      <c r="E107" s="75">
        <v>1850</v>
      </c>
      <c r="F107" s="75">
        <v>1850</v>
      </c>
      <c r="G107" s="75">
        <f>_xlfn.XLOOKUP(A107,'CHRIS NEW'!$A$4:$A$150,'CHRIS NEW'!$G$4:$G$150,0)</f>
        <v>1850</v>
      </c>
      <c r="H107" s="75">
        <f>_xlfn.XLOOKUP(A107,'CHRIS NEW'!$A$4:$A$150,'CHRIS NEW'!$H$4:$H$150,0)</f>
        <v>1850</v>
      </c>
    </row>
    <row r="108" spans="1:8" x14ac:dyDescent="0.25">
      <c r="A108" s="68" t="s">
        <v>755</v>
      </c>
      <c r="B108" s="68" t="s">
        <v>311</v>
      </c>
      <c r="C108" s="75">
        <v>3000</v>
      </c>
      <c r="D108" s="69">
        <v>3000</v>
      </c>
      <c r="E108" s="75">
        <v>3000</v>
      </c>
      <c r="F108" s="75">
        <v>3000</v>
      </c>
      <c r="G108" s="75">
        <f>_xlfn.XLOOKUP(A108,'CHRIS NEW'!$A$4:$A$150,'CHRIS NEW'!$G$4:$G$150,0)</f>
        <v>3500</v>
      </c>
      <c r="H108" s="75">
        <f>_xlfn.XLOOKUP(A108,'CHRIS NEW'!$A$4:$A$150,'CHRIS NEW'!$H$4:$H$150,0)</f>
        <v>3500</v>
      </c>
    </row>
    <row r="109" spans="1:8" x14ac:dyDescent="0.25">
      <c r="A109" s="68" t="s">
        <v>756</v>
      </c>
      <c r="B109" s="68" t="s">
        <v>313</v>
      </c>
      <c r="C109" s="75">
        <v>8000</v>
      </c>
      <c r="D109" s="69">
        <v>4000</v>
      </c>
      <c r="E109" s="75">
        <v>4000</v>
      </c>
      <c r="F109" s="75">
        <v>4000</v>
      </c>
      <c r="G109" s="75">
        <f>_xlfn.XLOOKUP(A109,'CHRIS NEW'!$A$4:$A$150,'CHRIS NEW'!$G$4:$G$150,0)</f>
        <v>15000</v>
      </c>
      <c r="H109" s="75">
        <f>_xlfn.XLOOKUP(A109,'CHRIS NEW'!$A$4:$A$150,'CHRIS NEW'!$H$4:$H$150,0)</f>
        <v>5000</v>
      </c>
    </row>
    <row r="110" spans="1:8" x14ac:dyDescent="0.25">
      <c r="A110" s="68" t="s">
        <v>757</v>
      </c>
      <c r="B110" s="68" t="s">
        <v>498</v>
      </c>
      <c r="C110" s="75">
        <v>0</v>
      </c>
      <c r="D110" s="69">
        <v>20000</v>
      </c>
      <c r="E110" s="75">
        <v>20000</v>
      </c>
      <c r="F110" s="75">
        <v>20000</v>
      </c>
      <c r="G110" s="75">
        <f>_xlfn.XLOOKUP(A110,'CHRIS NEW'!$A$4:$A$150,'CHRIS NEW'!$G$4:$G$150,0)</f>
        <v>0</v>
      </c>
      <c r="H110" s="75">
        <f>_xlfn.XLOOKUP(A110,'CHRIS NEW'!$A$4:$A$150,'CHRIS NEW'!$H$4:$H$150,0)</f>
        <v>0</v>
      </c>
    </row>
    <row r="111" spans="1:8" x14ac:dyDescent="0.25">
      <c r="A111" s="118" t="s">
        <v>758</v>
      </c>
      <c r="B111" s="118" t="s">
        <v>322</v>
      </c>
      <c r="C111" s="75">
        <v>8000</v>
      </c>
      <c r="D111" s="119">
        <v>8000</v>
      </c>
      <c r="E111" s="75">
        <v>8000</v>
      </c>
      <c r="F111" s="75">
        <v>8000</v>
      </c>
      <c r="G111" s="75">
        <f>_xlfn.XLOOKUP(A111,'CHRIS NEW'!$A$4:$A$150,'CHRIS NEW'!$G$4:$G$150,0)</f>
        <v>0</v>
      </c>
      <c r="H111" s="75">
        <f>_xlfn.XLOOKUP(A111,'CHRIS NEW'!$A$4:$A$150,'CHRIS NEW'!$H$4:$H$150,0)</f>
        <v>0</v>
      </c>
    </row>
    <row r="112" spans="1:8" x14ac:dyDescent="0.25">
      <c r="A112" s="118" t="s">
        <v>759</v>
      </c>
      <c r="B112" s="118" t="s">
        <v>327</v>
      </c>
      <c r="C112" s="75">
        <v>3900</v>
      </c>
      <c r="D112" s="119">
        <v>3900</v>
      </c>
      <c r="E112" s="75">
        <v>3900</v>
      </c>
      <c r="F112" s="75">
        <v>3900</v>
      </c>
      <c r="G112" s="75">
        <f>_xlfn.XLOOKUP(A112,'CHRIS NEW'!$A$4:$A$150,'CHRIS NEW'!$G$4:$G$150,0)</f>
        <v>3900</v>
      </c>
      <c r="H112" s="75">
        <f>_xlfn.XLOOKUP(A112,'CHRIS NEW'!$A$4:$A$150,'CHRIS NEW'!$H$4:$H$150,0)</f>
        <v>3900</v>
      </c>
    </row>
    <row r="113" spans="1:8" x14ac:dyDescent="0.25">
      <c r="A113" s="68" t="s">
        <v>760</v>
      </c>
      <c r="B113" s="68" t="s">
        <v>329</v>
      </c>
      <c r="C113" s="75">
        <v>1200</v>
      </c>
      <c r="D113" s="69">
        <v>1200</v>
      </c>
      <c r="E113" s="75">
        <v>1600</v>
      </c>
      <c r="F113" s="75">
        <v>1600</v>
      </c>
      <c r="G113" s="75">
        <f>_xlfn.XLOOKUP(A113,'CHRIS NEW'!$A$4:$A$150,'CHRIS NEW'!$G$4:$G$150,0)</f>
        <v>1600</v>
      </c>
      <c r="H113" s="75">
        <f>_xlfn.XLOOKUP(A113,'CHRIS NEW'!$A$4:$A$150,'CHRIS NEW'!$H$4:$H$150,0)</f>
        <v>1600</v>
      </c>
    </row>
    <row r="114" spans="1:8" x14ac:dyDescent="0.25">
      <c r="A114" s="68" t="s">
        <v>761</v>
      </c>
      <c r="B114" s="68" t="s">
        <v>636</v>
      </c>
      <c r="C114" s="75">
        <v>1200</v>
      </c>
      <c r="D114" s="69">
        <v>1200</v>
      </c>
      <c r="E114" s="75">
        <v>1500</v>
      </c>
      <c r="F114" s="75">
        <v>1500</v>
      </c>
      <c r="G114" s="75">
        <f>_xlfn.XLOOKUP(A114,'CHRIS NEW'!$A$4:$A$150,'CHRIS NEW'!$G$4:$G$150,0)</f>
        <v>1500</v>
      </c>
      <c r="H114" s="75">
        <f>_xlfn.XLOOKUP(A114,'CHRIS NEW'!$A$4:$A$150,'CHRIS NEW'!$H$4:$H$150,0)</f>
        <v>1500</v>
      </c>
    </row>
    <row r="115" spans="1:8" x14ac:dyDescent="0.25">
      <c r="A115" s="68" t="s">
        <v>762</v>
      </c>
      <c r="B115" s="68" t="s">
        <v>162</v>
      </c>
      <c r="C115" s="75">
        <v>0</v>
      </c>
      <c r="D115" s="69">
        <v>0</v>
      </c>
      <c r="E115" s="75">
        <v>1000</v>
      </c>
      <c r="F115" s="75">
        <v>1000</v>
      </c>
      <c r="G115" s="75">
        <f>_xlfn.XLOOKUP(A115,'CHRIS NEW'!$A$4:$A$150,'CHRIS NEW'!$G$4:$G$150,0)</f>
        <v>1000</v>
      </c>
      <c r="H115" s="75">
        <f>_xlfn.XLOOKUP(A115,'CHRIS NEW'!$A$4:$A$150,'CHRIS NEW'!$H$4:$H$150,0)</f>
        <v>1000</v>
      </c>
    </row>
    <row r="116" spans="1:8" x14ac:dyDescent="0.25">
      <c r="A116" s="68" t="s">
        <v>763</v>
      </c>
      <c r="B116" s="68" t="s">
        <v>348</v>
      </c>
      <c r="C116" s="75">
        <v>1300</v>
      </c>
      <c r="D116" s="69">
        <v>1300</v>
      </c>
      <c r="E116" s="75">
        <v>1500</v>
      </c>
      <c r="F116" s="75">
        <v>1500</v>
      </c>
      <c r="G116" s="75">
        <f>_xlfn.XLOOKUP(A116,'CHRIS NEW'!$A$4:$A$150,'CHRIS NEW'!$G$4:$G$150,0)</f>
        <v>2000</v>
      </c>
      <c r="H116" s="75">
        <f>_xlfn.XLOOKUP(A116,'CHRIS NEW'!$A$4:$A$150,'CHRIS NEW'!$H$4:$H$150,0)</f>
        <v>2000</v>
      </c>
    </row>
    <row r="117" spans="1:8" x14ac:dyDescent="0.25">
      <c r="A117" s="68" t="s">
        <v>764</v>
      </c>
      <c r="B117" s="68" t="s">
        <v>130</v>
      </c>
      <c r="C117" s="75">
        <v>15000</v>
      </c>
      <c r="D117" s="69">
        <v>15000</v>
      </c>
      <c r="E117" s="75">
        <v>15000</v>
      </c>
      <c r="F117" s="75">
        <v>15000</v>
      </c>
      <c r="G117" s="75">
        <f>_xlfn.XLOOKUP(A117,'CHRIS NEW'!$A$4:$A$150,'CHRIS NEW'!$G$4:$G$150,0)</f>
        <v>15000</v>
      </c>
      <c r="H117" s="75">
        <f>_xlfn.XLOOKUP(A117,'CHRIS NEW'!$A$4:$A$150,'CHRIS NEW'!$H$4:$H$150,0)</f>
        <v>15000</v>
      </c>
    </row>
    <row r="118" spans="1:8" x14ac:dyDescent="0.25">
      <c r="A118" s="68" t="s">
        <v>765</v>
      </c>
      <c r="B118" s="68" t="s">
        <v>766</v>
      </c>
      <c r="C118" s="75">
        <v>25000</v>
      </c>
      <c r="D118" s="69">
        <v>25000</v>
      </c>
      <c r="E118" s="75">
        <v>25000</v>
      </c>
      <c r="F118" s="75">
        <v>25000</v>
      </c>
      <c r="G118" s="75">
        <f>_xlfn.XLOOKUP(A118,'CHRIS NEW'!$A$4:$A$150,'CHRIS NEW'!$G$4:$G$150,0)</f>
        <v>25000</v>
      </c>
      <c r="H118" s="75">
        <f>_xlfn.XLOOKUP(A118,'CHRIS NEW'!$A$4:$A$150,'CHRIS NEW'!$H$4:$H$150,0)</f>
        <v>25000</v>
      </c>
    </row>
    <row r="119" spans="1:8" x14ac:dyDescent="0.25">
      <c r="A119" s="68" t="s">
        <v>767</v>
      </c>
      <c r="B119" s="68" t="s">
        <v>768</v>
      </c>
      <c r="C119" s="75">
        <v>25000</v>
      </c>
      <c r="D119" s="69">
        <v>25000</v>
      </c>
      <c r="E119" s="75">
        <v>25000</v>
      </c>
      <c r="F119" s="75">
        <v>25000</v>
      </c>
      <c r="G119" s="75">
        <f>_xlfn.XLOOKUP(A119,'CHRIS NEW'!$A$4:$A$150,'CHRIS NEW'!$G$4:$G$150,0)</f>
        <v>25000</v>
      </c>
      <c r="H119" s="75">
        <f>_xlfn.XLOOKUP(A119,'CHRIS NEW'!$A$4:$A$150,'CHRIS NEW'!$H$4:$H$150,0)</f>
        <v>25000</v>
      </c>
    </row>
    <row r="120" spans="1:8" x14ac:dyDescent="0.25">
      <c r="A120" s="68" t="s">
        <v>769</v>
      </c>
      <c r="B120" s="68" t="s">
        <v>303</v>
      </c>
      <c r="C120" s="75">
        <v>0</v>
      </c>
      <c r="D120" s="69">
        <v>0</v>
      </c>
      <c r="E120" s="75">
        <v>0</v>
      </c>
      <c r="F120" s="75">
        <v>0</v>
      </c>
      <c r="G120" s="75">
        <f>_xlfn.XLOOKUP(A120,'CHRIS NEW'!$A$4:$A$150,'CHRIS NEW'!$G$4:$G$150,0)</f>
        <v>0</v>
      </c>
      <c r="H120" s="75">
        <f>_xlfn.XLOOKUP(A120,'CHRIS NEW'!$A$4:$A$150,'CHRIS NEW'!$H$4:$H$150,0)</f>
        <v>0</v>
      </c>
    </row>
    <row r="121" spans="1:8" x14ac:dyDescent="0.25">
      <c r="A121" s="68" t="s">
        <v>770</v>
      </c>
      <c r="B121" s="68" t="s">
        <v>771</v>
      </c>
      <c r="C121" s="75">
        <v>1500</v>
      </c>
      <c r="D121" s="69">
        <v>1500</v>
      </c>
      <c r="E121" s="75">
        <v>1500</v>
      </c>
      <c r="F121" s="75">
        <v>1500</v>
      </c>
      <c r="G121" s="75">
        <v>1600</v>
      </c>
      <c r="H121" s="75">
        <v>1600</v>
      </c>
    </row>
    <row r="122" spans="1:8" x14ac:dyDescent="0.25">
      <c r="A122" s="68" t="s">
        <v>772</v>
      </c>
      <c r="B122" s="68" t="s">
        <v>432</v>
      </c>
      <c r="C122" s="75">
        <v>30000</v>
      </c>
      <c r="D122" s="69">
        <v>23000</v>
      </c>
      <c r="E122" s="75">
        <v>23000</v>
      </c>
      <c r="F122" s="75">
        <v>23000</v>
      </c>
      <c r="G122" s="75">
        <f>_xlfn.XLOOKUP(A122,'CHRIS NEW'!$A$4:$A$150,'CHRIS NEW'!$G$4:$G$150,0)</f>
        <v>33000</v>
      </c>
      <c r="H122" s="75">
        <f>_xlfn.XLOOKUP(A122,'CHRIS NEW'!$A$4:$A$150,'CHRIS NEW'!$H$4:$H$150,0)</f>
        <v>33000</v>
      </c>
    </row>
    <row r="123" spans="1:8" x14ac:dyDescent="0.25">
      <c r="A123" s="68" t="s">
        <v>773</v>
      </c>
      <c r="B123" s="68" t="s">
        <v>774</v>
      </c>
      <c r="C123" s="75">
        <v>35000</v>
      </c>
      <c r="D123" s="69">
        <v>35000</v>
      </c>
      <c r="E123" s="75">
        <v>35000</v>
      </c>
      <c r="F123" s="75">
        <v>35000</v>
      </c>
      <c r="G123" s="75">
        <f>_xlfn.XLOOKUP(A123,'CHRIS NEW'!$A$4:$A$150,'CHRIS NEW'!$G$4:$G$150,0)</f>
        <v>35000</v>
      </c>
      <c r="H123" s="75">
        <f>_xlfn.XLOOKUP(A123,'CHRIS NEW'!$A$4:$A$150,'CHRIS NEW'!$H$4:$H$150,0)</f>
        <v>35000</v>
      </c>
    </row>
    <row r="124" spans="1:8" x14ac:dyDescent="0.25">
      <c r="A124" s="68" t="s">
        <v>775</v>
      </c>
      <c r="B124" s="68" t="s">
        <v>776</v>
      </c>
      <c r="C124" s="75">
        <v>20000</v>
      </c>
      <c r="D124" s="69">
        <v>20000</v>
      </c>
      <c r="E124" s="75">
        <v>20000</v>
      </c>
      <c r="F124" s="75">
        <v>20000</v>
      </c>
      <c r="G124" s="75">
        <f>_xlfn.XLOOKUP(A124,'CHRIS NEW'!$A$4:$A$150,'CHRIS NEW'!$G$4:$G$150,0)</f>
        <v>20000</v>
      </c>
      <c r="H124" s="75">
        <f>_xlfn.XLOOKUP(A124,'CHRIS NEW'!$A$4:$A$150,'CHRIS NEW'!$H$4:$H$150,0)</f>
        <v>20000</v>
      </c>
    </row>
    <row r="125" spans="1:8" x14ac:dyDescent="0.25">
      <c r="A125" s="68" t="s">
        <v>777</v>
      </c>
      <c r="B125" s="68" t="s">
        <v>778</v>
      </c>
      <c r="C125" s="75">
        <v>21000</v>
      </c>
      <c r="D125" s="69">
        <v>21000</v>
      </c>
      <c r="E125" s="75">
        <v>21000</v>
      </c>
      <c r="F125" s="75">
        <v>21000</v>
      </c>
      <c r="G125" s="75">
        <f>_xlfn.XLOOKUP(A125,'CHRIS NEW'!$A$4:$A$150,'CHRIS NEW'!$G$4:$G$150,0)</f>
        <v>21000</v>
      </c>
      <c r="H125" s="75">
        <f>_xlfn.XLOOKUP(A125,'CHRIS NEW'!$A$4:$A$150,'CHRIS NEW'!$H$4:$H$150,0)</f>
        <v>21000</v>
      </c>
    </row>
    <row r="126" spans="1:8" x14ac:dyDescent="0.25">
      <c r="A126" s="68" t="s">
        <v>779</v>
      </c>
      <c r="B126" s="68" t="s">
        <v>780</v>
      </c>
      <c r="C126" s="75">
        <v>0</v>
      </c>
      <c r="D126" s="69">
        <v>0</v>
      </c>
      <c r="E126" s="75">
        <v>0</v>
      </c>
      <c r="F126" s="75">
        <v>0</v>
      </c>
      <c r="G126" s="75">
        <f>_xlfn.XLOOKUP(A126,'CHRIS NEW'!$A$4:$A$150,'CHRIS NEW'!$G$4:$G$150,0)</f>
        <v>0</v>
      </c>
      <c r="H126" s="75">
        <f>_xlfn.XLOOKUP(A126,'CHRIS NEW'!$A$4:$A$150,'CHRIS NEW'!$H$4:$H$150,0)</f>
        <v>0</v>
      </c>
    </row>
    <row r="127" spans="1:8" x14ac:dyDescent="0.25">
      <c r="A127" s="68" t="s">
        <v>781</v>
      </c>
      <c r="B127" s="68" t="s">
        <v>782</v>
      </c>
      <c r="C127" s="75">
        <v>430000</v>
      </c>
      <c r="D127" s="69">
        <v>430000</v>
      </c>
      <c r="E127" s="75">
        <v>430000</v>
      </c>
      <c r="F127" s="75">
        <v>430000</v>
      </c>
      <c r="G127" s="75">
        <f>_xlfn.XLOOKUP(A127,'CHRIS NEW'!$A$4:$A$150,'CHRIS NEW'!$G$4:$G$150,0)</f>
        <v>430000</v>
      </c>
      <c r="H127" s="75">
        <f>_xlfn.XLOOKUP(A127,'CHRIS NEW'!$A$4:$A$150,'CHRIS NEW'!$H$4:$H$150,0)</f>
        <v>430000</v>
      </c>
    </row>
    <row r="128" spans="1:8" x14ac:dyDescent="0.25">
      <c r="A128" s="68" t="s">
        <v>783</v>
      </c>
      <c r="B128" s="68" t="s">
        <v>23</v>
      </c>
      <c r="C128" s="75">
        <v>63620</v>
      </c>
      <c r="D128" s="69">
        <v>63620</v>
      </c>
      <c r="E128" s="75">
        <v>63620</v>
      </c>
      <c r="F128" s="75">
        <v>63620</v>
      </c>
      <c r="G128" s="75">
        <f>_xlfn.XLOOKUP(A128,'CHRIS NEW'!$A$4:$A$150,'CHRIS NEW'!$G$4:$G$150,0)</f>
        <v>63620</v>
      </c>
      <c r="H128" s="75">
        <f>_xlfn.XLOOKUP(A128,'CHRIS NEW'!$A$4:$A$150,'CHRIS NEW'!$H$4:$H$150,0)</f>
        <v>63620</v>
      </c>
    </row>
    <row r="129" spans="1:9" x14ac:dyDescent="0.25">
      <c r="A129" s="68" t="s">
        <v>784</v>
      </c>
      <c r="B129" s="68" t="s">
        <v>158</v>
      </c>
      <c r="C129" s="75">
        <v>0</v>
      </c>
      <c r="D129" s="69">
        <v>0</v>
      </c>
      <c r="E129" s="75">
        <v>0</v>
      </c>
      <c r="F129" s="75">
        <v>0</v>
      </c>
      <c r="G129" s="75">
        <f>_xlfn.XLOOKUP(A129,'CHRIS NEW'!$A$4:$A$150,'CHRIS NEW'!$G$4:$G$150,0)</f>
        <v>0</v>
      </c>
      <c r="H129" s="75">
        <f>_xlfn.XLOOKUP(A129,'CHRIS NEW'!$A$4:$A$150,'CHRIS NEW'!$H$4:$H$150,0)</f>
        <v>0</v>
      </c>
    </row>
    <row r="130" spans="1:9" x14ac:dyDescent="0.25">
      <c r="A130" s="68" t="s">
        <v>785</v>
      </c>
      <c r="B130" s="68" t="s">
        <v>43</v>
      </c>
      <c r="C130" s="75">
        <v>111558</v>
      </c>
      <c r="D130" s="69">
        <v>111558</v>
      </c>
      <c r="E130" s="75">
        <v>111558</v>
      </c>
      <c r="F130" s="75">
        <v>111558</v>
      </c>
      <c r="G130" s="75">
        <f>_xlfn.XLOOKUP(A130,'CHRIS NEW'!$A$4:$A$150,'CHRIS NEW'!$G$4:$G$150,0)</f>
        <v>111558</v>
      </c>
      <c r="H130" s="75">
        <f>_xlfn.XLOOKUP(A130,'CHRIS NEW'!$A$4:$A$150,'CHRIS NEW'!$H$4:$H$150,0)</f>
        <v>111558</v>
      </c>
    </row>
    <row r="131" spans="1:9" x14ac:dyDescent="0.25">
      <c r="A131" s="201" t="s">
        <v>786</v>
      </c>
      <c r="B131" s="201" t="s">
        <v>787</v>
      </c>
      <c r="C131" s="75">
        <v>0</v>
      </c>
      <c r="D131" s="69">
        <v>0</v>
      </c>
      <c r="E131" s="202">
        <v>0</v>
      </c>
      <c r="F131" s="202">
        <v>0</v>
      </c>
      <c r="G131" s="202">
        <f>_xlfn.XLOOKUP(A131,'CHRIS NEW'!$A$4:$A$150,'CHRIS NEW'!$G$4:$G$150,0)</f>
        <v>0</v>
      </c>
      <c r="H131" s="202">
        <f>_xlfn.XLOOKUP(A131,'CHRIS NEW'!$A$4:$A$150,'CHRIS NEW'!$H$4:$H$150,0)</f>
        <v>0</v>
      </c>
    </row>
    <row r="132" spans="1:9" x14ac:dyDescent="0.25">
      <c r="A132" s="201" t="s">
        <v>788</v>
      </c>
      <c r="B132" s="201" t="s">
        <v>344</v>
      </c>
      <c r="C132" s="75">
        <v>5866000</v>
      </c>
      <c r="D132" s="69">
        <v>11180500</v>
      </c>
      <c r="E132" s="203">
        <f>'26 Capital Budget'!I55</f>
        <v>7500000</v>
      </c>
      <c r="F132" s="203">
        <f>'26 Capital Budget'!J55</f>
        <v>3620000</v>
      </c>
      <c r="G132" s="202">
        <f>_xlfn.XLOOKUP(A132,'CHRIS NEW'!$A$4:$A$150,'CHRIS NEW'!$G$4:$G$150,0)</f>
        <v>3620000</v>
      </c>
      <c r="H132" s="203">
        <f>_xlfn.XLOOKUP(A132,'CHRIS NEW'!$A$4:$A$150,'CHRIS NEW'!$H$4:$H$150,0)</f>
        <v>1040000</v>
      </c>
    </row>
    <row r="133" spans="1:9" x14ac:dyDescent="0.25">
      <c r="A133" s="68" t="s">
        <v>789</v>
      </c>
      <c r="B133" s="68" t="s">
        <v>164</v>
      </c>
      <c r="C133" s="75">
        <v>0</v>
      </c>
      <c r="D133" s="69">
        <v>0</v>
      </c>
      <c r="E133" s="75">
        <v>0</v>
      </c>
      <c r="F133" s="75">
        <v>0</v>
      </c>
      <c r="G133" s="75">
        <f>_xlfn.XLOOKUP(A133,'CHRIS NEW'!$A$4:$A$150,'CHRIS NEW'!$G$4:$G$150,0)</f>
        <v>0</v>
      </c>
      <c r="H133" s="75">
        <f>_xlfn.XLOOKUP(A133,'CHRIS NEW'!$A$4:$A$150,'CHRIS NEW'!$H$4:$H$150,0)</f>
        <v>0</v>
      </c>
    </row>
    <row r="134" spans="1:9" ht="15.75" thickBot="1" x14ac:dyDescent="0.3">
      <c r="A134" s="167" t="s">
        <v>800</v>
      </c>
      <c r="B134" s="167" t="s">
        <v>801</v>
      </c>
      <c r="C134" s="168">
        <v>26000</v>
      </c>
      <c r="D134" s="169">
        <v>26000</v>
      </c>
      <c r="E134" s="168">
        <v>26000</v>
      </c>
      <c r="F134" s="168">
        <v>28500</v>
      </c>
      <c r="G134" s="168">
        <f>_xlfn.XLOOKUP(A134,'CHRIS NEW'!$A$4:$A$150,'CHRIS NEW'!$G$4:$G$150,0)</f>
        <v>28500</v>
      </c>
      <c r="H134" s="168">
        <f>_xlfn.XLOOKUP(A134,'CHRIS NEW'!$A$4:$A$150,'CHRIS NEW'!$H$4:$H$150,0)</f>
        <v>28500</v>
      </c>
      <c r="I134" s="88"/>
    </row>
    <row r="135" spans="1:9" x14ac:dyDescent="0.25">
      <c r="A135" s="164" t="s">
        <v>802</v>
      </c>
      <c r="B135" s="164" t="s">
        <v>467</v>
      </c>
      <c r="C135" s="165">
        <v>0</v>
      </c>
      <c r="D135" s="170">
        <v>0</v>
      </c>
      <c r="E135" s="165">
        <v>0</v>
      </c>
      <c r="F135" s="165">
        <v>0</v>
      </c>
      <c r="G135" s="165">
        <f>_xlfn.XLOOKUP(A135,'CHRIS NEW'!$A$4:$A$150,'CHRIS NEW'!$G$4:$G$150,0)</f>
        <v>0</v>
      </c>
      <c r="H135" s="165">
        <f>_xlfn.XLOOKUP(A135,'CHRIS NEW'!$A$4:$A$150,'CHRIS NEW'!$H$4:$H$150,0)</f>
        <v>0</v>
      </c>
    </row>
    <row r="136" spans="1:9" x14ac:dyDescent="0.25">
      <c r="A136" s="68" t="s">
        <v>803</v>
      </c>
      <c r="B136" s="68" t="s">
        <v>267</v>
      </c>
      <c r="C136" s="75">
        <v>0</v>
      </c>
      <c r="D136" s="69">
        <v>0</v>
      </c>
      <c r="E136" s="75">
        <v>0</v>
      </c>
      <c r="F136" s="75">
        <v>0</v>
      </c>
      <c r="G136" s="75">
        <f>_xlfn.XLOOKUP(A136,'CHRIS NEW'!$A$4:$A$150,'CHRIS NEW'!$G$4:$G$150,0)</f>
        <v>0</v>
      </c>
      <c r="H136" s="75">
        <f>_xlfn.XLOOKUP(A136,'CHRIS NEW'!$A$4:$A$150,'CHRIS NEW'!$H$4:$H$150,0)</f>
        <v>0</v>
      </c>
    </row>
    <row r="137" spans="1:9" x14ac:dyDescent="0.25">
      <c r="A137" s="201" t="s">
        <v>862</v>
      </c>
      <c r="B137" s="201" t="s">
        <v>900</v>
      </c>
      <c r="C137" s="202"/>
      <c r="D137" s="202"/>
      <c r="E137" s="202">
        <v>0</v>
      </c>
      <c r="F137" s="204">
        <f>_xlfn.XLOOKUP(A137,'2026 Salaries and Benefits'!$B$70:$G$70,'2026 Salaries and Benefits'!$B$82:$G$82,0)</f>
        <v>8659.8013600000013</v>
      </c>
      <c r="G137" s="204">
        <f>_xlfn.XLOOKUP(A137,'CHRIS NEW'!$A$4:$A$150,'CHRIS NEW'!$G$4:$G$150,0)</f>
        <v>8659.8013600000013</v>
      </c>
      <c r="H137" s="204">
        <f>'2027 Salaries and Benefits'!B80</f>
        <v>9126.9151999999995</v>
      </c>
    </row>
    <row r="138" spans="1:9" x14ac:dyDescent="0.25">
      <c r="A138" s="201" t="s">
        <v>863</v>
      </c>
      <c r="B138" s="201" t="s">
        <v>901</v>
      </c>
      <c r="C138" s="202"/>
      <c r="D138" s="202"/>
      <c r="E138" s="202">
        <v>0</v>
      </c>
      <c r="F138" s="204">
        <f>_xlfn.XLOOKUP(A138,'2026 Salaries and Benefits'!$B$70:$G$70,'2026 Salaries and Benefits'!$B$82:$G$82,0)</f>
        <v>662.47480404000009</v>
      </c>
      <c r="G138" s="204">
        <f>_xlfn.XLOOKUP(A138,'CHRIS NEW'!$A$4:$A$150,'CHRIS NEW'!$G$4:$G$150,0)</f>
        <v>662.47480404000009</v>
      </c>
      <c r="H138" s="204">
        <f>'2027 Salaries and Benefits'!C80</f>
        <v>698.20901279999987</v>
      </c>
    </row>
    <row r="139" spans="1:9" x14ac:dyDescent="0.25">
      <c r="A139" s="201" t="s">
        <v>864</v>
      </c>
      <c r="B139" s="201" t="s">
        <v>106</v>
      </c>
      <c r="C139" s="202"/>
      <c r="D139" s="202"/>
      <c r="E139" s="202">
        <v>0</v>
      </c>
      <c r="F139" s="204">
        <f>_xlfn.XLOOKUP(A139,'2026 Salaries and Benefits'!$B$70:$G$70,'2026 Salaries and Benefits'!$B$82:$G$82,0)</f>
        <v>1134</v>
      </c>
      <c r="G139" s="204">
        <f>_xlfn.XLOOKUP(A139,'CHRIS NEW'!$A$4:$A$150,'CHRIS NEW'!$G$4:$G$150,0)</f>
        <v>1134</v>
      </c>
      <c r="H139" s="204">
        <f>'2027 Salaries and Benefits'!D80</f>
        <v>1197.5017599999999</v>
      </c>
    </row>
    <row r="140" spans="1:9" x14ac:dyDescent="0.25">
      <c r="A140" s="201" t="s">
        <v>865</v>
      </c>
      <c r="B140" s="201" t="s">
        <v>902</v>
      </c>
      <c r="C140" s="202"/>
      <c r="D140" s="202"/>
      <c r="E140" s="202">
        <v>0</v>
      </c>
      <c r="F140" s="204">
        <f>_xlfn.XLOOKUP(A140,'2026 Salaries and Benefits'!$B$70:$G$70,'2026 Salaries and Benefits'!$B$82:$G$82,0)</f>
        <v>1046.8824</v>
      </c>
      <c r="G140" s="204">
        <f>_xlfn.XLOOKUP(A140,'CHRIS NEW'!$A$4:$A$150,'CHRIS NEW'!$G$4:$G$150,0)</f>
        <v>1046.8824</v>
      </c>
      <c r="H140" s="204">
        <f>'2027 Salaries and Benefits'!E80</f>
        <v>1130.8846035199999</v>
      </c>
    </row>
    <row r="141" spans="1:9" x14ac:dyDescent="0.25">
      <c r="A141" s="201" t="s">
        <v>866</v>
      </c>
      <c r="B141" s="201" t="s">
        <v>903</v>
      </c>
      <c r="C141" s="202"/>
      <c r="D141" s="202"/>
      <c r="E141" s="202">
        <v>0</v>
      </c>
      <c r="F141" s="204">
        <f>_xlfn.XLOOKUP(A141,'2026 Salaries and Benefits'!$B$70:$G$70,'2026 Salaries and Benefits'!$B$82:$G$82,0)</f>
        <v>158.19072</v>
      </c>
      <c r="G141" s="204">
        <f>_xlfn.XLOOKUP(A141,'CHRIS NEW'!$A$4:$A$150,'CHRIS NEW'!$G$4:$G$150,0)</f>
        <v>158.19072</v>
      </c>
      <c r="H141" s="204">
        <f>'2027 Salaries and Benefits'!F80</f>
        <v>166.78022399999998</v>
      </c>
    </row>
    <row r="142" spans="1:9" x14ac:dyDescent="0.25">
      <c r="A142" s="201" t="s">
        <v>868</v>
      </c>
      <c r="B142" s="201" t="s">
        <v>114</v>
      </c>
      <c r="C142" s="202"/>
      <c r="D142" s="202"/>
      <c r="E142" s="202">
        <v>0</v>
      </c>
      <c r="F142" s="204">
        <f>_xlfn.XLOOKUP(A142,'2026 Salaries and Benefits'!$B$70:$G$70,'2026 Salaries and Benefits'!$B$82:$G$82,0)</f>
        <v>19.200000000000003</v>
      </c>
      <c r="G142" s="204">
        <f>_xlfn.XLOOKUP(A142,'CHRIS NEW'!$A$4:$A$150,'CHRIS NEW'!$G$4:$G$150,0)</f>
        <v>19.200000000000003</v>
      </c>
      <c r="H142" s="204">
        <f>'2027 Salaries and Benefits'!G80</f>
        <v>19.200000000000003</v>
      </c>
    </row>
    <row r="143" spans="1:9" x14ac:dyDescent="0.25">
      <c r="A143" s="68" t="s">
        <v>804</v>
      </c>
      <c r="B143" s="68" t="s">
        <v>291</v>
      </c>
      <c r="C143" s="75">
        <v>0</v>
      </c>
      <c r="D143" s="69">
        <v>0</v>
      </c>
      <c r="E143" s="75">
        <v>0</v>
      </c>
      <c r="F143" s="75">
        <v>0</v>
      </c>
      <c r="G143" s="75">
        <f>_xlfn.XLOOKUP(A143,'CHRIS NEW'!$A$4:$A$150,'CHRIS NEW'!$G$4:$G$150,0)</f>
        <v>0</v>
      </c>
      <c r="H143" s="75">
        <f>_xlfn.XLOOKUP(A143,'CHRIS NEW'!$A$4:$A$150,'CHRIS NEW'!$H$4:$H$150,0)</f>
        <v>0</v>
      </c>
    </row>
    <row r="144" spans="1:9" x14ac:dyDescent="0.25">
      <c r="A144" s="68" t="s">
        <v>805</v>
      </c>
      <c r="B144" s="68" t="s">
        <v>295</v>
      </c>
      <c r="C144" s="75">
        <v>0</v>
      </c>
      <c r="D144" s="69">
        <v>0</v>
      </c>
      <c r="E144" s="75">
        <v>0</v>
      </c>
      <c r="F144" s="75">
        <v>0</v>
      </c>
      <c r="G144" s="75">
        <f>_xlfn.XLOOKUP(A144,'CHRIS NEW'!$A$4:$A$150,'CHRIS NEW'!$G$4:$G$150,0)</f>
        <v>0</v>
      </c>
      <c r="H144" s="75">
        <f>_xlfn.XLOOKUP(A144,'CHRIS NEW'!$A$4:$A$150,'CHRIS NEW'!$H$4:$H$150,0)</f>
        <v>0</v>
      </c>
    </row>
    <row r="145" spans="1:8" x14ac:dyDescent="0.25">
      <c r="A145" s="68" t="s">
        <v>806</v>
      </c>
      <c r="B145" s="68" t="s">
        <v>432</v>
      </c>
      <c r="C145" s="75">
        <v>4000</v>
      </c>
      <c r="D145" s="69">
        <v>4000</v>
      </c>
      <c r="E145" s="75">
        <v>4000</v>
      </c>
      <c r="F145" s="75">
        <v>4000</v>
      </c>
      <c r="G145" s="75">
        <f>_xlfn.XLOOKUP(A145,'CHRIS NEW'!$A$4:$A$150,'CHRIS NEW'!$G$4:$G$150,0)</f>
        <v>4000</v>
      </c>
      <c r="H145" s="75">
        <f>_xlfn.XLOOKUP(A145,'CHRIS NEW'!$A$4:$A$150,'CHRIS NEW'!$H$4:$H$150,0)</f>
        <v>4000</v>
      </c>
    </row>
    <row r="146" spans="1:8" x14ac:dyDescent="0.25">
      <c r="A146" s="68" t="s">
        <v>807</v>
      </c>
      <c r="B146" s="68" t="s">
        <v>808</v>
      </c>
      <c r="C146" s="75">
        <v>18824</v>
      </c>
      <c r="D146" s="69">
        <v>18824</v>
      </c>
      <c r="E146" s="75">
        <v>18240</v>
      </c>
      <c r="F146" s="75">
        <v>18240</v>
      </c>
      <c r="G146" s="75">
        <f>_xlfn.XLOOKUP(A146,'CHRIS NEW'!$A$4:$A$150,'CHRIS NEW'!$G$4:$G$150,0)</f>
        <v>18240</v>
      </c>
      <c r="H146" s="75">
        <f>_xlfn.XLOOKUP(A146,'CHRIS NEW'!$A$4:$A$150,'CHRIS NEW'!$H$4:$H$150,0)</f>
        <v>18240</v>
      </c>
    </row>
    <row r="147" spans="1:8" x14ac:dyDescent="0.25">
      <c r="A147" s="68" t="s">
        <v>809</v>
      </c>
      <c r="B147" s="68" t="s">
        <v>315</v>
      </c>
      <c r="C147" s="75">
        <v>0</v>
      </c>
      <c r="D147" s="69">
        <v>0</v>
      </c>
      <c r="E147" s="75">
        <v>0</v>
      </c>
      <c r="F147" s="75">
        <v>0</v>
      </c>
      <c r="G147" s="75">
        <f>_xlfn.XLOOKUP(A147,'CHRIS NEW'!$A$4:$A$150,'CHRIS NEW'!$G$4:$G$150,0)</f>
        <v>0</v>
      </c>
      <c r="H147" s="75">
        <f>_xlfn.XLOOKUP(A147,'CHRIS NEW'!$A$4:$A$150,'CHRIS NEW'!$H$4:$H$150,0)</f>
        <v>0</v>
      </c>
    </row>
    <row r="148" spans="1:8" x14ac:dyDescent="0.25">
      <c r="A148" s="68" t="s">
        <v>810</v>
      </c>
      <c r="B148" s="68" t="s">
        <v>43</v>
      </c>
      <c r="C148" s="75">
        <v>2122</v>
      </c>
      <c r="D148" s="69">
        <v>2122</v>
      </c>
      <c r="E148" s="75">
        <v>2122</v>
      </c>
      <c r="F148" s="75">
        <v>2122</v>
      </c>
      <c r="G148" s="75">
        <f>_xlfn.XLOOKUP(A148,'CHRIS NEW'!$A$4:$A$150,'CHRIS NEW'!$G$4:$G$150,0)</f>
        <v>2122</v>
      </c>
      <c r="H148" s="75">
        <f>_xlfn.XLOOKUP(A148,'CHRIS NEW'!$A$4:$A$150,'CHRIS NEW'!$H$4:$H$150,0)</f>
        <v>2122</v>
      </c>
    </row>
    <row r="149" spans="1:8" x14ac:dyDescent="0.25">
      <c r="A149" s="201" t="s">
        <v>811</v>
      </c>
      <c r="B149" s="201" t="s">
        <v>344</v>
      </c>
      <c r="C149" s="75">
        <v>0</v>
      </c>
      <c r="D149" s="69">
        <v>0</v>
      </c>
      <c r="E149" s="202">
        <v>0</v>
      </c>
      <c r="F149" s="202">
        <v>0</v>
      </c>
      <c r="G149" s="202">
        <f>_xlfn.XLOOKUP(A149,'CHRIS NEW'!$A$4:$A$150,'CHRIS NEW'!$G$4:$G$150,0)</f>
        <v>0</v>
      </c>
      <c r="H149" s="202">
        <f>_xlfn.XLOOKUP(A149,'CHRIS NEW'!$A$4:$A$150,'CHRIS NEW'!$H$4:$H$150,0)</f>
        <v>0</v>
      </c>
    </row>
    <row r="150" spans="1:8" x14ac:dyDescent="0.25">
      <c r="A150" s="68" t="s">
        <v>812</v>
      </c>
      <c r="B150" s="68" t="s">
        <v>164</v>
      </c>
      <c r="C150" s="75">
        <v>0</v>
      </c>
      <c r="D150" s="69">
        <v>0</v>
      </c>
      <c r="E150" s="75">
        <v>0</v>
      </c>
      <c r="F150" s="75">
        <v>0</v>
      </c>
      <c r="G150" s="75">
        <f>_xlfn.XLOOKUP(A150,'CHRIS NEW'!$A$4:$A$150,'CHRIS NEW'!$G$4:$G$150,0)</f>
        <v>0</v>
      </c>
      <c r="H150" s="75">
        <f>_xlfn.XLOOKUP(A150,'CHRIS NEW'!$A$4:$A$150,'CHRIS NEW'!$H$4:$H$150,0)</f>
        <v>0</v>
      </c>
    </row>
    <row r="151" spans="1:8" x14ac:dyDescent="0.25">
      <c r="A151" s="68"/>
      <c r="B151" s="68"/>
      <c r="C151" s="75"/>
      <c r="D151" s="69"/>
      <c r="E151" s="75"/>
      <c r="F151" s="75"/>
      <c r="G151" s="75"/>
      <c r="H151" s="75">
        <f>_xlfn.XLOOKUP(A151,'CHRIS NEW'!$A$4:$A$150,'CHRIS NEW'!$H$4:$H$150,0)</f>
        <v>0</v>
      </c>
    </row>
  </sheetData>
  <autoFilter ref="A3:P151" xr:uid="{939AEFEF-39B7-4AF2-96E7-CBE91EED4CDB}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358C-CE29-4C19-8614-2B943CDF5E47}">
  <sheetPr>
    <tabColor theme="4" tint="0.59999389629810485"/>
  </sheetPr>
  <dimension ref="A1:J151"/>
  <sheetViews>
    <sheetView workbookViewId="0">
      <pane ySplit="3" topLeftCell="A51" activePane="bottomLeft" state="frozen"/>
      <selection pane="bottomLeft" activeCell="H67" sqref="H67"/>
    </sheetView>
  </sheetViews>
  <sheetFormatPr defaultRowHeight="15" x14ac:dyDescent="0.25"/>
  <cols>
    <col min="1" max="1" width="10.85546875" style="1" bestFit="1" customWidth="1"/>
    <col min="2" max="2" width="30.140625" style="1" customWidth="1"/>
    <col min="3" max="3" width="14.140625" style="40" customWidth="1"/>
    <col min="4" max="4" width="14.140625" style="1" customWidth="1"/>
    <col min="5" max="5" width="15.5703125" style="1" customWidth="1"/>
    <col min="6" max="6" width="15.5703125" style="1" hidden="1" customWidth="1"/>
    <col min="7" max="7" width="15.42578125" style="1" customWidth="1"/>
    <col min="8" max="8" width="15.5703125" style="1" customWidth="1"/>
    <col min="9" max="9" width="21" style="1" customWidth="1"/>
    <col min="10" max="10" width="99" style="1" bestFit="1" customWidth="1"/>
    <col min="11" max="16384" width="9.140625" style="1"/>
  </cols>
  <sheetData>
    <row r="1" spans="1:10" x14ac:dyDescent="0.25">
      <c r="A1" s="1" t="s">
        <v>35</v>
      </c>
      <c r="E1" s="162">
        <f>SUM(E4:E150)</f>
        <v>26180914.605821244</v>
      </c>
      <c r="F1" s="162">
        <f>SUM(F4:F150)</f>
        <v>12740735.183561038</v>
      </c>
      <c r="G1" s="162">
        <f>SUM(G4:G150)</f>
        <v>12116328.963561038</v>
      </c>
      <c r="H1" s="162">
        <f>SUM(H4:H150)</f>
        <v>8244118.7655610396</v>
      </c>
    </row>
    <row r="3" spans="1:10" ht="15.75" x14ac:dyDescent="0.25">
      <c r="A3" s="65" t="s">
        <v>936</v>
      </c>
      <c r="B3" s="65" t="s">
        <v>937</v>
      </c>
      <c r="C3" s="66" t="s">
        <v>938</v>
      </c>
      <c r="D3" s="67" t="s">
        <v>939</v>
      </c>
      <c r="E3" s="67" t="s">
        <v>940</v>
      </c>
      <c r="F3" s="67" t="s">
        <v>950</v>
      </c>
      <c r="G3" s="67" t="s">
        <v>942</v>
      </c>
      <c r="H3" s="67" t="s">
        <v>943</v>
      </c>
    </row>
    <row r="4" spans="1:10" x14ac:dyDescent="0.25">
      <c r="A4" s="68" t="s">
        <v>578</v>
      </c>
      <c r="B4" s="68" t="s">
        <v>579</v>
      </c>
      <c r="C4" s="75">
        <v>3700000</v>
      </c>
      <c r="D4" s="75">
        <v>3700000</v>
      </c>
      <c r="E4" s="75">
        <v>3700000</v>
      </c>
      <c r="F4" s="75">
        <v>3700000</v>
      </c>
      <c r="G4" s="75">
        <v>607651.79</v>
      </c>
      <c r="H4" s="75">
        <v>1400000</v>
      </c>
      <c r="J4" s="1" t="s">
        <v>944</v>
      </c>
    </row>
    <row r="5" spans="1:10" x14ac:dyDescent="0.25">
      <c r="A5" s="68" t="s">
        <v>580</v>
      </c>
      <c r="B5" s="68" t="s">
        <v>581</v>
      </c>
      <c r="C5" s="75">
        <v>390000</v>
      </c>
      <c r="D5" s="69">
        <v>390000</v>
      </c>
      <c r="E5" s="75">
        <v>390000</v>
      </c>
      <c r="F5" s="75">
        <v>390000</v>
      </c>
      <c r="G5" s="75">
        <v>390000</v>
      </c>
      <c r="H5" s="75">
        <v>390000</v>
      </c>
      <c r="J5" s="70" t="s">
        <v>951</v>
      </c>
    </row>
    <row r="6" spans="1:10" x14ac:dyDescent="0.25">
      <c r="A6" s="68" t="s">
        <v>582</v>
      </c>
      <c r="B6" s="68" t="s">
        <v>583</v>
      </c>
      <c r="C6" s="75">
        <v>30</v>
      </c>
      <c r="D6" s="69">
        <v>30</v>
      </c>
      <c r="E6" s="75">
        <v>30</v>
      </c>
      <c r="F6" s="75">
        <v>30</v>
      </c>
      <c r="G6" s="75">
        <v>30</v>
      </c>
      <c r="H6" s="75">
        <v>30</v>
      </c>
      <c r="J6" s="71" t="s">
        <v>952</v>
      </c>
    </row>
    <row r="7" spans="1:10" x14ac:dyDescent="0.25">
      <c r="A7" s="68" t="s">
        <v>584</v>
      </c>
      <c r="B7" s="68" t="s">
        <v>585</v>
      </c>
      <c r="C7" s="75">
        <v>8580</v>
      </c>
      <c r="D7" s="69">
        <v>8580</v>
      </c>
      <c r="E7" s="75">
        <v>8580</v>
      </c>
      <c r="F7" s="75">
        <v>8580</v>
      </c>
      <c r="G7" s="75">
        <v>8580</v>
      </c>
      <c r="H7" s="75">
        <v>8580</v>
      </c>
      <c r="J7" s="72" t="s">
        <v>947</v>
      </c>
    </row>
    <row r="8" spans="1:10" x14ac:dyDescent="0.25">
      <c r="A8" s="68" t="s">
        <v>586</v>
      </c>
      <c r="B8" s="68" t="s">
        <v>587</v>
      </c>
      <c r="C8" s="75">
        <v>350000</v>
      </c>
      <c r="D8" s="69">
        <v>350000</v>
      </c>
      <c r="E8" s="75">
        <v>350000</v>
      </c>
      <c r="F8" s="75">
        <v>350000</v>
      </c>
      <c r="G8" s="75">
        <v>350000</v>
      </c>
      <c r="H8" s="75">
        <v>350000</v>
      </c>
      <c r="J8" s="31" t="s">
        <v>948</v>
      </c>
    </row>
    <row r="9" spans="1:10" x14ac:dyDescent="0.25">
      <c r="A9" s="68" t="s">
        <v>588</v>
      </c>
      <c r="B9" s="68" t="s">
        <v>589</v>
      </c>
      <c r="C9" s="75">
        <v>0</v>
      </c>
      <c r="D9" s="69">
        <v>0</v>
      </c>
      <c r="E9" s="75">
        <v>0</v>
      </c>
      <c r="F9" s="75">
        <v>0</v>
      </c>
      <c r="G9" s="75">
        <v>0</v>
      </c>
      <c r="H9" s="75">
        <v>0</v>
      </c>
    </row>
    <row r="10" spans="1:10" x14ac:dyDescent="0.25">
      <c r="A10" s="68" t="s">
        <v>590</v>
      </c>
      <c r="B10" s="68" t="s">
        <v>591</v>
      </c>
      <c r="C10" s="75">
        <v>0</v>
      </c>
      <c r="D10" s="69">
        <v>0</v>
      </c>
      <c r="E10" s="75">
        <v>0</v>
      </c>
      <c r="F10" s="75">
        <v>0</v>
      </c>
      <c r="G10" s="75">
        <v>0</v>
      </c>
      <c r="H10" s="75">
        <v>0</v>
      </c>
    </row>
    <row r="11" spans="1:10" x14ac:dyDescent="0.25">
      <c r="A11" s="68" t="s">
        <v>592</v>
      </c>
      <c r="B11" s="68" t="s">
        <v>593</v>
      </c>
      <c r="C11" s="75">
        <v>0</v>
      </c>
      <c r="D11" s="69">
        <v>0</v>
      </c>
      <c r="E11" s="75">
        <v>0</v>
      </c>
      <c r="F11" s="75">
        <v>0</v>
      </c>
      <c r="G11" s="75">
        <v>0</v>
      </c>
      <c r="H11" s="75">
        <v>0</v>
      </c>
    </row>
    <row r="12" spans="1:10" x14ac:dyDescent="0.25">
      <c r="A12" s="68" t="s">
        <v>594</v>
      </c>
      <c r="B12" s="68" t="s">
        <v>256</v>
      </c>
      <c r="C12" s="75">
        <v>0</v>
      </c>
      <c r="D12" s="69">
        <v>0</v>
      </c>
      <c r="E12" s="75">
        <v>0</v>
      </c>
      <c r="F12" s="75">
        <v>0</v>
      </c>
      <c r="G12" s="75">
        <v>0</v>
      </c>
      <c r="H12" s="75">
        <v>0</v>
      </c>
    </row>
    <row r="13" spans="1:10" x14ac:dyDescent="0.25">
      <c r="A13" s="68" t="s">
        <v>595</v>
      </c>
      <c r="B13" s="68" t="s">
        <v>99</v>
      </c>
      <c r="C13" s="75">
        <v>4110</v>
      </c>
      <c r="D13" s="69">
        <v>4110</v>
      </c>
      <c r="E13" s="75">
        <v>4110</v>
      </c>
      <c r="F13" s="75">
        <v>4110</v>
      </c>
      <c r="G13" s="75">
        <v>4110</v>
      </c>
      <c r="H13" s="75">
        <v>4110</v>
      </c>
    </row>
    <row r="14" spans="1:10" x14ac:dyDescent="0.25">
      <c r="A14" s="68" t="s">
        <v>596</v>
      </c>
      <c r="B14" s="68" t="s">
        <v>259</v>
      </c>
      <c r="C14" s="75">
        <v>80000</v>
      </c>
      <c r="D14" s="69">
        <v>80000</v>
      </c>
      <c r="E14" s="75">
        <v>80000</v>
      </c>
      <c r="F14" s="75">
        <v>80000</v>
      </c>
      <c r="G14" s="75">
        <v>80000</v>
      </c>
      <c r="H14" s="75">
        <v>80000</v>
      </c>
    </row>
    <row r="15" spans="1:10" x14ac:dyDescent="0.25">
      <c r="A15" s="68" t="s">
        <v>597</v>
      </c>
      <c r="B15" s="68" t="s">
        <v>261</v>
      </c>
      <c r="C15" s="75">
        <v>100000</v>
      </c>
      <c r="D15" s="69">
        <v>100000</v>
      </c>
      <c r="E15" s="75">
        <v>100000</v>
      </c>
      <c r="F15" s="75">
        <v>100000</v>
      </c>
      <c r="G15" s="75">
        <v>100000</v>
      </c>
      <c r="H15" s="75">
        <v>100000</v>
      </c>
    </row>
    <row r="16" spans="1:10" x14ac:dyDescent="0.25">
      <c r="A16" s="68" t="s">
        <v>598</v>
      </c>
      <c r="B16" s="68" t="s">
        <v>267</v>
      </c>
      <c r="C16" s="75">
        <v>0</v>
      </c>
      <c r="D16" s="69">
        <v>0</v>
      </c>
      <c r="E16" s="75">
        <v>0</v>
      </c>
      <c r="F16" s="75">
        <v>0</v>
      </c>
      <c r="G16" s="75">
        <v>0</v>
      </c>
      <c r="H16" s="75">
        <v>0</v>
      </c>
    </row>
    <row r="17" spans="1:9" x14ac:dyDescent="0.25">
      <c r="A17" s="68" t="s">
        <v>599</v>
      </c>
      <c r="B17" s="68" t="s">
        <v>600</v>
      </c>
      <c r="C17" s="75">
        <v>0</v>
      </c>
      <c r="D17" s="73">
        <v>0</v>
      </c>
      <c r="E17" s="75">
        <v>0</v>
      </c>
      <c r="F17" s="75">
        <v>0</v>
      </c>
      <c r="G17" s="75">
        <v>0</v>
      </c>
      <c r="H17" s="75">
        <v>0</v>
      </c>
    </row>
    <row r="18" spans="1:9" x14ac:dyDescent="0.25">
      <c r="A18" s="68" t="s">
        <v>601</v>
      </c>
      <c r="B18" s="68" t="s">
        <v>106</v>
      </c>
      <c r="C18" s="75">
        <v>0</v>
      </c>
      <c r="D18" s="73">
        <v>0</v>
      </c>
      <c r="E18" s="75">
        <v>0</v>
      </c>
      <c r="F18" s="75">
        <v>0</v>
      </c>
      <c r="G18" s="75">
        <v>0</v>
      </c>
      <c r="H18" s="75">
        <v>0</v>
      </c>
    </row>
    <row r="19" spans="1:9" x14ac:dyDescent="0.25">
      <c r="A19" s="68" t="s">
        <v>602</v>
      </c>
      <c r="B19" s="68" t="s">
        <v>603</v>
      </c>
      <c r="C19" s="75">
        <v>0</v>
      </c>
      <c r="D19" s="73">
        <v>0</v>
      </c>
      <c r="E19" s="75">
        <v>0</v>
      </c>
      <c r="F19" s="75">
        <v>0</v>
      </c>
      <c r="G19" s="75">
        <v>0</v>
      </c>
      <c r="H19" s="75">
        <v>0</v>
      </c>
    </row>
    <row r="20" spans="1:9" x14ac:dyDescent="0.25">
      <c r="A20" s="68" t="s">
        <v>604</v>
      </c>
      <c r="B20" s="68" t="s">
        <v>110</v>
      </c>
      <c r="C20" s="75">
        <v>0</v>
      </c>
      <c r="D20" s="73">
        <v>0</v>
      </c>
      <c r="E20" s="75">
        <v>0</v>
      </c>
      <c r="F20" s="75">
        <v>0</v>
      </c>
      <c r="G20" s="75">
        <v>0</v>
      </c>
      <c r="H20" s="75">
        <v>0</v>
      </c>
    </row>
    <row r="21" spans="1:9" x14ac:dyDescent="0.25">
      <c r="A21" s="68" t="s">
        <v>605</v>
      </c>
      <c r="B21" s="68" t="s">
        <v>112</v>
      </c>
      <c r="C21" s="75">
        <v>0</v>
      </c>
      <c r="D21" s="73">
        <v>0</v>
      </c>
      <c r="E21" s="75">
        <v>0</v>
      </c>
      <c r="F21" s="75">
        <v>0</v>
      </c>
      <c r="G21" s="75">
        <v>0</v>
      </c>
      <c r="H21" s="75">
        <v>0</v>
      </c>
    </row>
    <row r="22" spans="1:9" x14ac:dyDescent="0.25">
      <c r="A22" s="68" t="s">
        <v>606</v>
      </c>
      <c r="B22" s="68" t="s">
        <v>114</v>
      </c>
      <c r="C22" s="75">
        <v>0</v>
      </c>
      <c r="D22" s="69">
        <v>0</v>
      </c>
      <c r="E22" s="75">
        <v>0</v>
      </c>
      <c r="F22" s="75">
        <v>0</v>
      </c>
      <c r="G22" s="75">
        <v>0</v>
      </c>
      <c r="H22" s="75">
        <v>0</v>
      </c>
    </row>
    <row r="23" spans="1:9" x14ac:dyDescent="0.25">
      <c r="A23" s="68" t="s">
        <v>607</v>
      </c>
      <c r="B23" s="68" t="s">
        <v>101</v>
      </c>
      <c r="C23" s="75">
        <v>240280</v>
      </c>
      <c r="D23" s="73">
        <v>221918.51250000001</v>
      </c>
      <c r="E23" s="75">
        <v>221918.51250000001</v>
      </c>
      <c r="F23" s="163">
        <v>258650.34900000002</v>
      </c>
      <c r="G23" s="163">
        <v>258650.34899999999</v>
      </c>
      <c r="H23" s="163">
        <v>269377.39</v>
      </c>
      <c r="I23" s="162"/>
    </row>
    <row r="24" spans="1:9" x14ac:dyDescent="0.25">
      <c r="A24" s="68" t="s">
        <v>608</v>
      </c>
      <c r="B24" s="68" t="s">
        <v>104</v>
      </c>
      <c r="C24" s="75">
        <v>18381</v>
      </c>
      <c r="D24" s="69">
        <v>16976.766206250002</v>
      </c>
      <c r="E24" s="75">
        <v>16976.766206250002</v>
      </c>
      <c r="F24" s="163">
        <v>19786.7516985</v>
      </c>
      <c r="G24" s="163">
        <v>19786.7516985</v>
      </c>
      <c r="H24" s="163">
        <v>19786.7516985</v>
      </c>
      <c r="I24" s="162"/>
    </row>
    <row r="25" spans="1:9" x14ac:dyDescent="0.25">
      <c r="A25" s="68" t="s">
        <v>609</v>
      </c>
      <c r="B25" s="68" t="s">
        <v>106</v>
      </c>
      <c r="C25" s="75">
        <v>44741</v>
      </c>
      <c r="D25" s="69">
        <v>31944.720000000001</v>
      </c>
      <c r="E25" s="75">
        <v>31944.720000000001</v>
      </c>
      <c r="F25" s="163">
        <v>38885.520000000004</v>
      </c>
      <c r="G25" s="163">
        <v>38885.520000000004</v>
      </c>
      <c r="H25" s="163">
        <v>38885.520000000004</v>
      </c>
      <c r="I25" s="162"/>
    </row>
    <row r="26" spans="1:9" x14ac:dyDescent="0.25">
      <c r="A26" s="68" t="s">
        <v>610</v>
      </c>
      <c r="B26" s="68" t="s">
        <v>108</v>
      </c>
      <c r="C26" s="75">
        <v>43335</v>
      </c>
      <c r="D26" s="74">
        <v>50232.110999999997</v>
      </c>
      <c r="E26" s="75">
        <v>50232.110999999997</v>
      </c>
      <c r="F26" s="163">
        <v>53023.255799999999</v>
      </c>
      <c r="G26" s="163">
        <v>53023.255799999999</v>
      </c>
      <c r="H26" s="163">
        <v>53023.255799999999</v>
      </c>
    </row>
    <row r="27" spans="1:9" x14ac:dyDescent="0.25">
      <c r="A27" s="68" t="s">
        <v>611</v>
      </c>
      <c r="B27" s="68" t="s">
        <v>110</v>
      </c>
      <c r="C27" s="75">
        <v>6099</v>
      </c>
      <c r="D27" s="69">
        <v>4262.7552000000005</v>
      </c>
      <c r="E27" s="75">
        <v>4262.7552000000005</v>
      </c>
      <c r="F27" s="163">
        <v>4985.4406399999998</v>
      </c>
      <c r="G27" s="163">
        <v>4985.4406399999998</v>
      </c>
      <c r="H27" s="163">
        <v>4985.4406399999998</v>
      </c>
    </row>
    <row r="28" spans="1:9" x14ac:dyDescent="0.25">
      <c r="A28" s="68" t="s">
        <v>612</v>
      </c>
      <c r="B28" s="68" t="s">
        <v>112</v>
      </c>
      <c r="C28" s="75">
        <v>10000</v>
      </c>
      <c r="D28" s="69">
        <v>0</v>
      </c>
      <c r="E28" s="75">
        <v>10000</v>
      </c>
      <c r="F28" s="163">
        <v>0</v>
      </c>
      <c r="G28" s="163">
        <v>0</v>
      </c>
      <c r="H28" s="163">
        <v>0</v>
      </c>
      <c r="I28" t="s">
        <v>1116</v>
      </c>
    </row>
    <row r="29" spans="1:9" x14ac:dyDescent="0.25">
      <c r="A29" s="68" t="s">
        <v>613</v>
      </c>
      <c r="B29" s="68" t="s">
        <v>114</v>
      </c>
      <c r="C29" s="75">
        <v>297</v>
      </c>
      <c r="D29" s="69">
        <v>108</v>
      </c>
      <c r="E29" s="75">
        <v>108</v>
      </c>
      <c r="F29" s="163">
        <v>115.20000000000002</v>
      </c>
      <c r="G29" s="163">
        <v>115.20000000000002</v>
      </c>
      <c r="H29" s="163">
        <v>115.20000000000002</v>
      </c>
    </row>
    <row r="30" spans="1:9" x14ac:dyDescent="0.25">
      <c r="A30" s="68" t="s">
        <v>614</v>
      </c>
      <c r="B30" s="68" t="s">
        <v>276</v>
      </c>
      <c r="C30" s="75">
        <v>550</v>
      </c>
      <c r="D30" s="69">
        <v>0</v>
      </c>
      <c r="E30" s="75">
        <v>600</v>
      </c>
      <c r="F30" s="75">
        <v>600</v>
      </c>
      <c r="G30" s="75">
        <v>600</v>
      </c>
      <c r="H30" s="75">
        <v>600</v>
      </c>
    </row>
    <row r="31" spans="1:9" x14ac:dyDescent="0.25">
      <c r="A31" s="68" t="s">
        <v>615</v>
      </c>
      <c r="B31" s="68" t="s">
        <v>278</v>
      </c>
      <c r="C31" s="75">
        <v>0</v>
      </c>
      <c r="D31" s="74">
        <v>0</v>
      </c>
      <c r="E31" s="75">
        <v>0</v>
      </c>
      <c r="F31" s="75">
        <v>0</v>
      </c>
      <c r="G31" s="75">
        <v>0</v>
      </c>
      <c r="H31" s="75">
        <v>0</v>
      </c>
    </row>
    <row r="32" spans="1:9" x14ac:dyDescent="0.25">
      <c r="A32" s="68" t="s">
        <v>616</v>
      </c>
      <c r="B32" s="68" t="s">
        <v>280</v>
      </c>
      <c r="C32" s="75">
        <v>7000</v>
      </c>
      <c r="D32" s="69">
        <v>7000</v>
      </c>
      <c r="E32" s="75">
        <v>7000</v>
      </c>
      <c r="F32" s="75">
        <v>7000</v>
      </c>
      <c r="G32" s="188">
        <v>9000</v>
      </c>
      <c r="H32" s="188">
        <v>9000</v>
      </c>
      <c r="I32" t="s">
        <v>1117</v>
      </c>
    </row>
    <row r="33" spans="1:9" x14ac:dyDescent="0.25">
      <c r="A33" s="68" t="s">
        <v>617</v>
      </c>
      <c r="B33" s="68" t="s">
        <v>120</v>
      </c>
      <c r="C33" s="75">
        <v>7500</v>
      </c>
      <c r="D33" s="69">
        <v>6500</v>
      </c>
      <c r="E33" s="75">
        <v>6500</v>
      </c>
      <c r="F33" s="75">
        <v>6500</v>
      </c>
      <c r="G33" s="188">
        <v>12000</v>
      </c>
      <c r="H33" s="188">
        <v>12000</v>
      </c>
      <c r="I33" t="s">
        <v>1118</v>
      </c>
    </row>
    <row r="34" spans="1:9" x14ac:dyDescent="0.25">
      <c r="A34" s="68" t="s">
        <v>618</v>
      </c>
      <c r="B34" s="68" t="s">
        <v>124</v>
      </c>
      <c r="C34" s="75">
        <v>10000</v>
      </c>
      <c r="D34" s="74">
        <v>10000</v>
      </c>
      <c r="E34" s="75">
        <v>10000</v>
      </c>
      <c r="F34" s="75">
        <v>10000</v>
      </c>
      <c r="G34" s="75">
        <v>10000</v>
      </c>
      <c r="H34" s="75">
        <v>10000</v>
      </c>
      <c r="I34" t="s">
        <v>1119</v>
      </c>
    </row>
    <row r="35" spans="1:9" x14ac:dyDescent="0.25">
      <c r="A35" s="68" t="s">
        <v>619</v>
      </c>
      <c r="B35" s="68" t="s">
        <v>126</v>
      </c>
      <c r="C35" s="75">
        <v>8000</v>
      </c>
      <c r="D35" s="69">
        <v>8000</v>
      </c>
      <c r="E35" s="75">
        <v>8000</v>
      </c>
      <c r="F35" s="75">
        <v>8000</v>
      </c>
      <c r="G35" s="75">
        <v>8000</v>
      </c>
      <c r="H35" s="75">
        <v>8000</v>
      </c>
    </row>
    <row r="36" spans="1:9" x14ac:dyDescent="0.25">
      <c r="A36" s="68" t="s">
        <v>620</v>
      </c>
      <c r="B36" s="68" t="s">
        <v>287</v>
      </c>
      <c r="C36" s="75">
        <v>6000</v>
      </c>
      <c r="D36" s="69">
        <v>6000</v>
      </c>
      <c r="E36" s="75">
        <v>6000</v>
      </c>
      <c r="F36" s="75">
        <v>6000</v>
      </c>
      <c r="G36" s="75">
        <v>6000</v>
      </c>
      <c r="H36" s="75">
        <v>6000</v>
      </c>
    </row>
    <row r="37" spans="1:9" x14ac:dyDescent="0.25">
      <c r="A37" s="68" t="s">
        <v>621</v>
      </c>
      <c r="B37" s="68" t="s">
        <v>132</v>
      </c>
      <c r="C37" s="75">
        <v>30000</v>
      </c>
      <c r="D37" s="69">
        <v>25000</v>
      </c>
      <c r="E37" s="75">
        <v>25000</v>
      </c>
      <c r="F37" s="75">
        <v>25000</v>
      </c>
      <c r="G37" s="75">
        <v>25000</v>
      </c>
      <c r="H37" s="75">
        <v>25000</v>
      </c>
    </row>
    <row r="38" spans="1:9" x14ac:dyDescent="0.25">
      <c r="A38" s="68" t="s">
        <v>622</v>
      </c>
      <c r="B38" s="68" t="s">
        <v>291</v>
      </c>
      <c r="C38" s="75">
        <v>250</v>
      </c>
      <c r="D38" s="69">
        <v>300</v>
      </c>
      <c r="E38" s="75">
        <v>300</v>
      </c>
      <c r="F38" s="75">
        <v>300</v>
      </c>
      <c r="G38" s="75">
        <v>300</v>
      </c>
      <c r="H38" s="75">
        <v>300</v>
      </c>
    </row>
    <row r="39" spans="1:9" x14ac:dyDescent="0.25">
      <c r="A39" s="68" t="s">
        <v>623</v>
      </c>
      <c r="B39" s="68" t="s">
        <v>295</v>
      </c>
      <c r="C39" s="75">
        <v>0</v>
      </c>
      <c r="D39" s="69">
        <v>0</v>
      </c>
      <c r="E39" s="75">
        <v>0</v>
      </c>
      <c r="F39" s="75">
        <v>0</v>
      </c>
      <c r="G39" s="75">
        <v>0</v>
      </c>
      <c r="H39" s="75">
        <v>0</v>
      </c>
    </row>
    <row r="40" spans="1:9" x14ac:dyDescent="0.25">
      <c r="A40" s="68" t="s">
        <v>624</v>
      </c>
      <c r="B40" s="68" t="s">
        <v>297</v>
      </c>
      <c r="C40" s="75">
        <v>6500</v>
      </c>
      <c r="D40" s="69">
        <v>6500</v>
      </c>
      <c r="E40" s="75">
        <v>6500</v>
      </c>
      <c r="F40" s="75">
        <v>6500</v>
      </c>
      <c r="G40" s="188">
        <v>7000</v>
      </c>
      <c r="H40" s="188">
        <v>14000</v>
      </c>
      <c r="I40" t="s">
        <v>1120</v>
      </c>
    </row>
    <row r="41" spans="1:9" x14ac:dyDescent="0.25">
      <c r="A41" s="68" t="s">
        <v>625</v>
      </c>
      <c r="B41" s="68" t="s">
        <v>303</v>
      </c>
      <c r="C41" s="75">
        <v>18000</v>
      </c>
      <c r="D41" s="74">
        <v>18000</v>
      </c>
      <c r="E41" s="75">
        <v>18000</v>
      </c>
      <c r="F41" s="75">
        <v>18000</v>
      </c>
      <c r="G41" s="75">
        <v>18000</v>
      </c>
      <c r="H41" s="75">
        <v>18000</v>
      </c>
    </row>
    <row r="42" spans="1:9" x14ac:dyDescent="0.25">
      <c r="A42" s="118" t="s">
        <v>626</v>
      </c>
      <c r="B42" s="118" t="s">
        <v>627</v>
      </c>
      <c r="C42" s="75">
        <v>1850</v>
      </c>
      <c r="D42" s="119">
        <v>1000</v>
      </c>
      <c r="E42" s="75">
        <v>1850</v>
      </c>
      <c r="F42" s="75">
        <v>1850</v>
      </c>
      <c r="G42" s="75">
        <v>1850</v>
      </c>
      <c r="H42" s="188">
        <v>2500</v>
      </c>
      <c r="I42" t="s">
        <v>1121</v>
      </c>
    </row>
    <row r="43" spans="1:9" x14ac:dyDescent="0.25">
      <c r="A43" s="68" t="s">
        <v>628</v>
      </c>
      <c r="B43" s="68" t="s">
        <v>311</v>
      </c>
      <c r="C43" s="75">
        <v>3000</v>
      </c>
      <c r="D43" s="74">
        <v>3000</v>
      </c>
      <c r="E43" s="75">
        <v>3000</v>
      </c>
      <c r="F43" s="75">
        <v>3000</v>
      </c>
      <c r="G43" s="188">
        <v>3500</v>
      </c>
      <c r="H43" s="188">
        <v>3500</v>
      </c>
      <c r="I43" t="s">
        <v>1122</v>
      </c>
    </row>
    <row r="44" spans="1:9" x14ac:dyDescent="0.25">
      <c r="A44" s="68" t="s">
        <v>629</v>
      </c>
      <c r="B44" s="68" t="s">
        <v>313</v>
      </c>
      <c r="C44" s="75">
        <v>3000</v>
      </c>
      <c r="D44" s="69">
        <v>3000</v>
      </c>
      <c r="E44" s="75">
        <v>3000</v>
      </c>
      <c r="F44" s="75">
        <v>3000</v>
      </c>
      <c r="G44" s="189">
        <v>10000</v>
      </c>
      <c r="H44" s="75">
        <v>5000</v>
      </c>
      <c r="I44" t="s">
        <v>1123</v>
      </c>
    </row>
    <row r="45" spans="1:9" x14ac:dyDescent="0.25">
      <c r="A45" s="68" t="s">
        <v>630</v>
      </c>
      <c r="B45" s="190" t="s">
        <v>1124</v>
      </c>
      <c r="C45" s="75">
        <v>0</v>
      </c>
      <c r="D45" s="69">
        <v>0</v>
      </c>
      <c r="E45" s="75">
        <v>0</v>
      </c>
      <c r="F45" s="75">
        <v>0</v>
      </c>
      <c r="G45" s="188"/>
      <c r="H45" s="188"/>
      <c r="I45" s="1" t="s">
        <v>1125</v>
      </c>
    </row>
    <row r="46" spans="1:9" x14ac:dyDescent="0.25">
      <c r="A46" s="68" t="s">
        <v>631</v>
      </c>
      <c r="B46" s="68" t="s">
        <v>322</v>
      </c>
      <c r="C46" s="75">
        <v>8100</v>
      </c>
      <c r="D46" s="74">
        <v>8100</v>
      </c>
      <c r="E46" s="75">
        <v>8100</v>
      </c>
      <c r="F46" s="75">
        <v>8100</v>
      </c>
      <c r="G46" s="191">
        <v>0</v>
      </c>
      <c r="H46" s="191">
        <v>0</v>
      </c>
      <c r="I46" t="s">
        <v>1126</v>
      </c>
    </row>
    <row r="47" spans="1:9" x14ac:dyDescent="0.25">
      <c r="A47" s="68" t="s">
        <v>632</v>
      </c>
      <c r="B47" s="68" t="s">
        <v>633</v>
      </c>
      <c r="C47" s="75">
        <v>3900</v>
      </c>
      <c r="D47" s="69">
        <v>3900</v>
      </c>
      <c r="E47" s="75">
        <v>6000</v>
      </c>
      <c r="F47" s="75">
        <v>6000</v>
      </c>
      <c r="G47" s="75">
        <v>6000</v>
      </c>
      <c r="H47" s="75">
        <v>6000</v>
      </c>
    </row>
    <row r="48" spans="1:9" x14ac:dyDescent="0.25">
      <c r="A48" s="68" t="s">
        <v>634</v>
      </c>
      <c r="B48" s="68" t="s">
        <v>329</v>
      </c>
      <c r="C48" s="75">
        <v>1200</v>
      </c>
      <c r="D48" s="69">
        <v>1200</v>
      </c>
      <c r="E48" s="75">
        <v>1600</v>
      </c>
      <c r="F48" s="75">
        <v>1600</v>
      </c>
      <c r="G48" s="188">
        <v>2000</v>
      </c>
      <c r="H48" s="188">
        <v>2000</v>
      </c>
      <c r="I48" t="s">
        <v>1127</v>
      </c>
    </row>
    <row r="49" spans="1:9" x14ac:dyDescent="0.25">
      <c r="A49" s="68" t="s">
        <v>635</v>
      </c>
      <c r="B49" s="68" t="s">
        <v>636</v>
      </c>
      <c r="C49" s="75">
        <v>1200</v>
      </c>
      <c r="D49" s="69">
        <v>1200</v>
      </c>
      <c r="E49" s="75">
        <v>1500</v>
      </c>
      <c r="F49" s="75">
        <v>1500</v>
      </c>
      <c r="G49" s="75">
        <v>1500</v>
      </c>
      <c r="H49" s="75">
        <v>1500</v>
      </c>
    </row>
    <row r="50" spans="1:9" x14ac:dyDescent="0.25">
      <c r="A50" s="68" t="s">
        <v>637</v>
      </c>
      <c r="B50" s="68" t="s">
        <v>162</v>
      </c>
      <c r="C50" s="75">
        <v>0</v>
      </c>
      <c r="D50" s="69">
        <v>0</v>
      </c>
      <c r="E50" s="75">
        <v>1000</v>
      </c>
      <c r="F50" s="75">
        <v>1000</v>
      </c>
      <c r="G50" s="75">
        <v>1000</v>
      </c>
      <c r="H50" s="75">
        <v>1000</v>
      </c>
      <c r="I50" s="162"/>
    </row>
    <row r="51" spans="1:9" x14ac:dyDescent="0.25">
      <c r="A51" s="68" t="s">
        <v>638</v>
      </c>
      <c r="B51" s="68" t="s">
        <v>348</v>
      </c>
      <c r="C51" s="75">
        <v>1300</v>
      </c>
      <c r="D51" s="69">
        <v>1500</v>
      </c>
      <c r="E51" s="75">
        <v>1500</v>
      </c>
      <c r="F51" s="75">
        <v>1500</v>
      </c>
      <c r="G51" s="188">
        <v>2000</v>
      </c>
      <c r="H51" s="188">
        <v>2000</v>
      </c>
      <c r="I51" t="s">
        <v>1128</v>
      </c>
    </row>
    <row r="52" spans="1:9" x14ac:dyDescent="0.25">
      <c r="A52" s="68" t="s">
        <v>639</v>
      </c>
      <c r="B52" s="68" t="s">
        <v>130</v>
      </c>
      <c r="C52" s="75">
        <v>40000</v>
      </c>
      <c r="D52" s="69">
        <v>40000</v>
      </c>
      <c r="E52" s="75">
        <v>100000</v>
      </c>
      <c r="F52" s="75">
        <v>100000</v>
      </c>
      <c r="G52" s="75">
        <v>100000</v>
      </c>
      <c r="H52" s="75">
        <v>100000</v>
      </c>
    </row>
    <row r="53" spans="1:9" x14ac:dyDescent="0.25">
      <c r="A53" s="68" t="s">
        <v>640</v>
      </c>
      <c r="B53" s="68" t="s">
        <v>132</v>
      </c>
      <c r="C53" s="75">
        <v>0</v>
      </c>
      <c r="D53" s="69">
        <v>0</v>
      </c>
      <c r="E53" s="75">
        <v>0</v>
      </c>
      <c r="F53" s="75">
        <v>0</v>
      </c>
      <c r="G53" s="75">
        <v>0</v>
      </c>
      <c r="H53" s="75">
        <v>0</v>
      </c>
      <c r="I53" s="162"/>
    </row>
    <row r="54" spans="1:9" x14ac:dyDescent="0.25">
      <c r="A54" s="68" t="s">
        <v>641</v>
      </c>
      <c r="B54" s="68" t="s">
        <v>642</v>
      </c>
      <c r="C54" s="75">
        <v>14000</v>
      </c>
      <c r="D54" s="69">
        <v>14000</v>
      </c>
      <c r="E54" s="75">
        <v>14000</v>
      </c>
      <c r="F54" s="75">
        <v>14000</v>
      </c>
      <c r="G54" s="75">
        <v>14000</v>
      </c>
      <c r="H54" s="75">
        <v>14000</v>
      </c>
      <c r="I54" s="162"/>
    </row>
    <row r="55" spans="1:9" x14ac:dyDescent="0.25">
      <c r="A55" s="68" t="s">
        <v>643</v>
      </c>
      <c r="B55" s="190" t="s">
        <v>644</v>
      </c>
      <c r="C55" s="75">
        <v>1000</v>
      </c>
      <c r="D55" s="69">
        <v>1000</v>
      </c>
      <c r="E55" s="75">
        <v>1000</v>
      </c>
      <c r="F55" s="75">
        <v>1000</v>
      </c>
      <c r="G55" s="75">
        <v>1000</v>
      </c>
      <c r="H55" s="75">
        <v>7000</v>
      </c>
      <c r="I55" t="s">
        <v>1129</v>
      </c>
    </row>
    <row r="56" spans="1:9" x14ac:dyDescent="0.25">
      <c r="A56" s="68" t="s">
        <v>645</v>
      </c>
      <c r="B56" s="68" t="s">
        <v>646</v>
      </c>
      <c r="C56" s="75">
        <v>4000</v>
      </c>
      <c r="D56" s="69">
        <v>4000</v>
      </c>
      <c r="E56" s="75">
        <v>4000</v>
      </c>
      <c r="F56" s="75">
        <v>4000</v>
      </c>
      <c r="G56" s="75">
        <v>4000</v>
      </c>
      <c r="H56" s="75">
        <v>4000</v>
      </c>
    </row>
    <row r="57" spans="1:9" x14ac:dyDescent="0.25">
      <c r="A57" s="68" t="s">
        <v>647</v>
      </c>
      <c r="B57" s="68" t="s">
        <v>303</v>
      </c>
      <c r="C57" s="75">
        <v>0</v>
      </c>
      <c r="D57" s="69">
        <v>0</v>
      </c>
      <c r="E57" s="75">
        <v>0</v>
      </c>
      <c r="F57" s="75">
        <v>0</v>
      </c>
      <c r="G57" s="75">
        <v>0</v>
      </c>
      <c r="H57" s="75">
        <v>0</v>
      </c>
    </row>
    <row r="58" spans="1:9" x14ac:dyDescent="0.25">
      <c r="A58" s="68" t="s">
        <v>648</v>
      </c>
      <c r="B58" s="68" t="s">
        <v>432</v>
      </c>
      <c r="C58" s="75">
        <v>35000</v>
      </c>
      <c r="D58" s="69">
        <v>35000</v>
      </c>
      <c r="E58" s="75">
        <v>35000</v>
      </c>
      <c r="F58" s="75">
        <v>35000</v>
      </c>
      <c r="G58" s="75">
        <f>35000+10000</f>
        <v>45000</v>
      </c>
      <c r="H58" s="75">
        <f>35000+10000</f>
        <v>45000</v>
      </c>
      <c r="I58" s="162"/>
    </row>
    <row r="59" spans="1:9" x14ac:dyDescent="0.25">
      <c r="A59" s="118" t="s">
        <v>649</v>
      </c>
      <c r="B59" s="118" t="s">
        <v>650</v>
      </c>
      <c r="C59" s="75">
        <v>60000</v>
      </c>
      <c r="D59" s="119">
        <v>60000</v>
      </c>
      <c r="E59" s="75">
        <v>60000</v>
      </c>
      <c r="F59" s="75">
        <v>60000</v>
      </c>
      <c r="G59" s="75">
        <v>60000</v>
      </c>
      <c r="H59" s="75">
        <v>60000</v>
      </c>
    </row>
    <row r="60" spans="1:9" x14ac:dyDescent="0.25">
      <c r="A60" s="118" t="s">
        <v>651</v>
      </c>
      <c r="B60" s="118" t="s">
        <v>652</v>
      </c>
      <c r="C60" s="75">
        <v>0</v>
      </c>
      <c r="D60" s="119">
        <v>0</v>
      </c>
      <c r="E60" s="75">
        <v>0</v>
      </c>
      <c r="F60" s="75">
        <v>0</v>
      </c>
      <c r="G60" s="75">
        <v>0</v>
      </c>
      <c r="H60" s="75">
        <v>0</v>
      </c>
    </row>
    <row r="61" spans="1:9" x14ac:dyDescent="0.25">
      <c r="A61" s="68" t="s">
        <v>653</v>
      </c>
      <c r="B61" s="68" t="s">
        <v>654</v>
      </c>
      <c r="C61" s="75">
        <v>5712</v>
      </c>
      <c r="D61" s="69">
        <v>5712</v>
      </c>
      <c r="E61" s="75">
        <v>6500</v>
      </c>
      <c r="F61" s="75">
        <v>8000</v>
      </c>
      <c r="G61" s="188">
        <v>22000</v>
      </c>
      <c r="H61" s="188">
        <v>22000</v>
      </c>
      <c r="I61" t="s">
        <v>1130</v>
      </c>
    </row>
    <row r="62" spans="1:9" x14ac:dyDescent="0.25">
      <c r="A62" s="68" t="s">
        <v>655</v>
      </c>
      <c r="B62" s="190" t="s">
        <v>656</v>
      </c>
      <c r="C62" s="75">
        <v>0</v>
      </c>
      <c r="D62" s="69">
        <v>0</v>
      </c>
      <c r="E62" s="75">
        <v>0</v>
      </c>
      <c r="F62" s="75">
        <v>0</v>
      </c>
      <c r="G62" s="75">
        <v>0</v>
      </c>
      <c r="H62" s="75">
        <v>45000</v>
      </c>
      <c r="I62" s="1" t="s">
        <v>1131</v>
      </c>
    </row>
    <row r="63" spans="1:9" x14ac:dyDescent="0.25">
      <c r="A63" s="68" t="s">
        <v>657</v>
      </c>
      <c r="B63" s="68" t="s">
        <v>658</v>
      </c>
      <c r="C63" s="75">
        <v>2500</v>
      </c>
      <c r="D63" s="69">
        <v>2500</v>
      </c>
      <c r="E63" s="75">
        <v>6500</v>
      </c>
      <c r="F63" s="75">
        <v>6500</v>
      </c>
      <c r="G63" s="75">
        <v>6500</v>
      </c>
      <c r="H63" s="188">
        <v>6500</v>
      </c>
      <c r="I63" t="s">
        <v>1132</v>
      </c>
    </row>
    <row r="64" spans="1:9" x14ac:dyDescent="0.25">
      <c r="A64" s="68" t="s">
        <v>659</v>
      </c>
      <c r="B64" s="68" t="s">
        <v>537</v>
      </c>
      <c r="C64" s="75">
        <v>2800</v>
      </c>
      <c r="D64" s="69">
        <v>2800</v>
      </c>
      <c r="E64" s="75">
        <v>2800</v>
      </c>
      <c r="F64" s="75">
        <v>60000</v>
      </c>
      <c r="G64" s="161">
        <v>60000</v>
      </c>
      <c r="H64" s="161">
        <v>60000</v>
      </c>
      <c r="I64" s="1" t="s">
        <v>1133</v>
      </c>
    </row>
    <row r="65" spans="1:9" x14ac:dyDescent="0.25">
      <c r="A65" s="68" t="s">
        <v>660</v>
      </c>
      <c r="B65" s="68" t="s">
        <v>661</v>
      </c>
      <c r="C65" s="75">
        <v>0</v>
      </c>
      <c r="D65" s="69">
        <v>0</v>
      </c>
      <c r="E65" s="75">
        <v>0</v>
      </c>
      <c r="F65" s="75">
        <v>0</v>
      </c>
      <c r="G65" s="75">
        <v>0</v>
      </c>
      <c r="H65" s="75">
        <v>0</v>
      </c>
    </row>
    <row r="66" spans="1:9" x14ac:dyDescent="0.25">
      <c r="A66" s="68" t="s">
        <v>662</v>
      </c>
      <c r="B66" s="68" t="s">
        <v>663</v>
      </c>
      <c r="C66" s="75">
        <v>0</v>
      </c>
      <c r="D66" s="69">
        <v>0</v>
      </c>
      <c r="E66" s="75">
        <v>0</v>
      </c>
      <c r="F66" s="75">
        <v>0</v>
      </c>
      <c r="G66" s="75">
        <v>0</v>
      </c>
      <c r="H66" s="75">
        <v>0</v>
      </c>
    </row>
    <row r="67" spans="1:9" x14ac:dyDescent="0.25">
      <c r="A67" s="68" t="s">
        <v>664</v>
      </c>
      <c r="B67" s="68" t="s">
        <v>665</v>
      </c>
      <c r="C67" s="75">
        <v>256000</v>
      </c>
      <c r="D67" s="69">
        <v>256000</v>
      </c>
      <c r="E67" s="75">
        <v>256000</v>
      </c>
      <c r="F67" s="75">
        <v>256000</v>
      </c>
      <c r="G67" s="163">
        <f>_xlfn.XLOOKUP($A67,'Debt Summary'!$A$33:$A$38,'Debt Summary'!$E$33:$E$38,0)</f>
        <v>138000</v>
      </c>
      <c r="H67" s="163">
        <f>_xlfn.XLOOKUP($A67,'Debt Summary'!$A$33:$A$38,'Debt Summary'!$F$33:$F$38,0)</f>
        <v>141000</v>
      </c>
    </row>
    <row r="68" spans="1:9" x14ac:dyDescent="0.25">
      <c r="A68" s="68" t="s">
        <v>666</v>
      </c>
      <c r="B68" s="68" t="s">
        <v>667</v>
      </c>
      <c r="C68" s="75">
        <v>91558</v>
      </c>
      <c r="D68" s="69">
        <v>91558</v>
      </c>
      <c r="E68" s="75">
        <v>91558</v>
      </c>
      <c r="F68" s="75">
        <v>91558</v>
      </c>
      <c r="G68" s="163">
        <f>_xlfn.XLOOKUP($A68,'Debt Summary'!$A$33:$A$38,'Debt Summary'!$E$33:$E$38,0)</f>
        <v>22158.400000000001</v>
      </c>
      <c r="H68" s="163">
        <f>_xlfn.XLOOKUP($A68,'Debt Summary'!$A$33:$A$38,'Debt Summary'!$F$33:$F$38,0)</f>
        <v>19337.5</v>
      </c>
    </row>
    <row r="69" spans="1:9" x14ac:dyDescent="0.25">
      <c r="A69" s="68" t="s">
        <v>668</v>
      </c>
      <c r="B69" s="68" t="s">
        <v>327</v>
      </c>
      <c r="C69" s="75">
        <v>0</v>
      </c>
      <c r="D69" s="69">
        <v>0</v>
      </c>
      <c r="E69" s="75">
        <v>0</v>
      </c>
      <c r="F69" s="75">
        <v>0</v>
      </c>
      <c r="G69" s="75">
        <v>0</v>
      </c>
      <c r="H69" s="75">
        <v>0</v>
      </c>
    </row>
    <row r="70" spans="1:9" x14ac:dyDescent="0.25">
      <c r="A70" s="68" t="s">
        <v>669</v>
      </c>
      <c r="B70" s="68" t="s">
        <v>43</v>
      </c>
      <c r="C70" s="75">
        <v>87202</v>
      </c>
      <c r="D70" s="73">
        <v>87202</v>
      </c>
      <c r="E70" s="75">
        <v>87202</v>
      </c>
      <c r="F70" s="75">
        <v>87202</v>
      </c>
      <c r="G70" s="75">
        <v>87202</v>
      </c>
      <c r="H70" s="75">
        <v>87202</v>
      </c>
    </row>
    <row r="71" spans="1:9" x14ac:dyDescent="0.25">
      <c r="A71" s="68" t="s">
        <v>670</v>
      </c>
      <c r="B71" s="68" t="s">
        <v>671</v>
      </c>
      <c r="C71" s="75">
        <v>0</v>
      </c>
      <c r="D71" s="73">
        <v>0</v>
      </c>
      <c r="E71" s="75">
        <v>0</v>
      </c>
      <c r="F71" s="75">
        <v>0</v>
      </c>
      <c r="G71" s="75">
        <v>0</v>
      </c>
      <c r="H71" s="75">
        <v>0</v>
      </c>
    </row>
    <row r="72" spans="1:9" x14ac:dyDescent="0.25">
      <c r="A72" s="68" t="s">
        <v>672</v>
      </c>
      <c r="B72" s="68" t="s">
        <v>344</v>
      </c>
      <c r="C72" s="75">
        <v>3800000</v>
      </c>
      <c r="D72" s="73">
        <v>3905500</v>
      </c>
      <c r="E72" s="180">
        <v>2460500</v>
      </c>
      <c r="F72" s="176">
        <v>1120000</v>
      </c>
      <c r="G72" s="75">
        <v>1120000</v>
      </c>
      <c r="H72" s="176">
        <v>1590000</v>
      </c>
    </row>
    <row r="73" spans="1:9" x14ac:dyDescent="0.25">
      <c r="A73" s="68" t="s">
        <v>673</v>
      </c>
      <c r="B73" s="68" t="s">
        <v>674</v>
      </c>
      <c r="C73" s="75">
        <v>0</v>
      </c>
      <c r="D73" s="73">
        <v>0</v>
      </c>
      <c r="E73" s="75">
        <v>0</v>
      </c>
      <c r="F73" s="75">
        <v>0</v>
      </c>
      <c r="G73" s="75">
        <v>0</v>
      </c>
      <c r="H73" s="75">
        <v>0</v>
      </c>
    </row>
    <row r="74" spans="1:9" x14ac:dyDescent="0.25">
      <c r="A74" s="68" t="s">
        <v>675</v>
      </c>
      <c r="B74" s="68" t="s">
        <v>348</v>
      </c>
      <c r="C74" s="75">
        <v>0</v>
      </c>
      <c r="D74" s="73">
        <v>0</v>
      </c>
      <c r="E74" s="75">
        <v>0</v>
      </c>
      <c r="F74" s="75">
        <v>0</v>
      </c>
      <c r="G74" s="75">
        <v>0</v>
      </c>
      <c r="H74" s="75">
        <v>0</v>
      </c>
    </row>
    <row r="75" spans="1:9" ht="15.75" thickBot="1" x14ac:dyDescent="0.3">
      <c r="A75" s="167" t="s">
        <v>676</v>
      </c>
      <c r="B75" s="167" t="s">
        <v>164</v>
      </c>
      <c r="C75" s="168">
        <v>0</v>
      </c>
      <c r="D75" s="169">
        <v>0</v>
      </c>
      <c r="E75" s="168">
        <v>0</v>
      </c>
      <c r="F75" s="168">
        <v>0</v>
      </c>
      <c r="G75" s="168">
        <v>0</v>
      </c>
      <c r="H75" s="168">
        <v>0</v>
      </c>
      <c r="I75" s="88"/>
    </row>
    <row r="76" spans="1:9" x14ac:dyDescent="0.25">
      <c r="A76" s="164" t="s">
        <v>717</v>
      </c>
      <c r="B76" s="164" t="s">
        <v>718</v>
      </c>
      <c r="C76" s="165">
        <v>5183000</v>
      </c>
      <c r="D76" s="166">
        <v>8183000</v>
      </c>
      <c r="E76" s="165">
        <v>8183000</v>
      </c>
      <c r="F76" s="165">
        <v>0</v>
      </c>
      <c r="G76" s="165">
        <f>2152095.82+467745.77</f>
        <v>2619841.59</v>
      </c>
      <c r="H76" s="165">
        <v>0</v>
      </c>
    </row>
    <row r="77" spans="1:9" x14ac:dyDescent="0.25">
      <c r="A77" s="68" t="s">
        <v>719</v>
      </c>
      <c r="B77" s="68" t="s">
        <v>720</v>
      </c>
      <c r="C77" s="75">
        <v>685000</v>
      </c>
      <c r="D77" s="69">
        <v>685000</v>
      </c>
      <c r="E77" s="75">
        <v>685000</v>
      </c>
      <c r="F77" s="75">
        <v>685000</v>
      </c>
      <c r="G77" s="75">
        <v>685000</v>
      </c>
      <c r="H77" s="75">
        <v>685000</v>
      </c>
    </row>
    <row r="78" spans="1:9" x14ac:dyDescent="0.25">
      <c r="A78" s="68" t="s">
        <v>721</v>
      </c>
      <c r="B78" s="68" t="s">
        <v>256</v>
      </c>
      <c r="C78" s="75">
        <v>0</v>
      </c>
      <c r="D78" s="69">
        <v>0</v>
      </c>
      <c r="E78" s="75">
        <v>0</v>
      </c>
      <c r="F78" s="75">
        <v>0</v>
      </c>
      <c r="G78" s="75">
        <v>0</v>
      </c>
      <c r="H78" s="75">
        <v>0</v>
      </c>
    </row>
    <row r="79" spans="1:9" x14ac:dyDescent="0.25">
      <c r="A79" s="68" t="s">
        <v>722</v>
      </c>
      <c r="B79" s="68" t="s">
        <v>99</v>
      </c>
      <c r="C79" s="75">
        <v>480</v>
      </c>
      <c r="D79" s="74">
        <v>480</v>
      </c>
      <c r="E79" s="75">
        <v>480</v>
      </c>
      <c r="F79" s="75">
        <v>480</v>
      </c>
      <c r="G79" s="75">
        <v>480</v>
      </c>
      <c r="H79" s="75">
        <v>480</v>
      </c>
    </row>
    <row r="80" spans="1:9" x14ac:dyDescent="0.25">
      <c r="A80" s="68" t="s">
        <v>723</v>
      </c>
      <c r="B80" s="68" t="s">
        <v>467</v>
      </c>
      <c r="C80" s="75">
        <v>240000</v>
      </c>
      <c r="D80" s="69">
        <v>240000</v>
      </c>
      <c r="E80" s="75">
        <v>240000</v>
      </c>
      <c r="F80" s="75">
        <v>50000</v>
      </c>
      <c r="G80" s="75">
        <v>50000</v>
      </c>
      <c r="H80" s="75">
        <v>50000</v>
      </c>
    </row>
    <row r="81" spans="1:9" x14ac:dyDescent="0.25">
      <c r="A81" s="68" t="s">
        <v>724</v>
      </c>
      <c r="B81" s="68" t="s">
        <v>267</v>
      </c>
      <c r="C81" s="75">
        <v>0</v>
      </c>
      <c r="D81" s="69">
        <v>0</v>
      </c>
      <c r="E81" s="75">
        <v>0</v>
      </c>
      <c r="F81" s="75">
        <v>0</v>
      </c>
      <c r="G81" s="75">
        <v>0</v>
      </c>
      <c r="H81" s="75">
        <v>0</v>
      </c>
    </row>
    <row r="82" spans="1:9" x14ac:dyDescent="0.25">
      <c r="A82" s="68" t="s">
        <v>725</v>
      </c>
      <c r="B82" s="68" t="s">
        <v>726</v>
      </c>
      <c r="C82" s="75">
        <v>0</v>
      </c>
      <c r="D82" s="69">
        <v>0</v>
      </c>
      <c r="E82" s="75">
        <v>0</v>
      </c>
      <c r="F82" s="75">
        <v>0</v>
      </c>
      <c r="G82" s="75">
        <v>0</v>
      </c>
      <c r="H82" s="75">
        <v>0</v>
      </c>
    </row>
    <row r="83" spans="1:9" x14ac:dyDescent="0.25">
      <c r="A83" s="68" t="s">
        <v>727</v>
      </c>
      <c r="B83" s="68" t="s">
        <v>106</v>
      </c>
      <c r="C83" s="75">
        <v>0</v>
      </c>
      <c r="D83" s="69">
        <v>0</v>
      </c>
      <c r="E83" s="75">
        <v>0</v>
      </c>
      <c r="F83" s="75">
        <v>0</v>
      </c>
      <c r="G83" s="75">
        <v>0</v>
      </c>
      <c r="H83" s="75">
        <v>0</v>
      </c>
    </row>
    <row r="84" spans="1:9" x14ac:dyDescent="0.25">
      <c r="A84" s="68" t="s">
        <v>728</v>
      </c>
      <c r="B84" s="68" t="s">
        <v>729</v>
      </c>
      <c r="C84" s="75">
        <v>0</v>
      </c>
      <c r="D84" s="69">
        <v>0</v>
      </c>
      <c r="E84" s="75">
        <v>0</v>
      </c>
      <c r="F84" s="75">
        <v>0</v>
      </c>
      <c r="G84" s="75">
        <v>0</v>
      </c>
      <c r="H84" s="75">
        <v>0</v>
      </c>
    </row>
    <row r="85" spans="1:9" x14ac:dyDescent="0.25">
      <c r="A85" s="68" t="s">
        <v>730</v>
      </c>
      <c r="B85" s="68" t="s">
        <v>476</v>
      </c>
      <c r="C85" s="75">
        <v>0</v>
      </c>
      <c r="D85" s="69">
        <v>0</v>
      </c>
      <c r="E85" s="75">
        <v>0</v>
      </c>
      <c r="F85" s="75">
        <v>0</v>
      </c>
      <c r="G85" s="75">
        <v>0</v>
      </c>
      <c r="H85" s="75">
        <v>0</v>
      </c>
    </row>
    <row r="86" spans="1:9" x14ac:dyDescent="0.25">
      <c r="A86" s="68" t="s">
        <v>731</v>
      </c>
      <c r="B86" s="68" t="s">
        <v>478</v>
      </c>
      <c r="C86" s="75">
        <v>0</v>
      </c>
      <c r="D86" s="69">
        <v>0</v>
      </c>
      <c r="E86" s="75">
        <v>0</v>
      </c>
      <c r="F86" s="75">
        <v>0</v>
      </c>
      <c r="G86" s="75">
        <v>0</v>
      </c>
      <c r="H86" s="75">
        <v>0</v>
      </c>
    </row>
    <row r="87" spans="1:9" x14ac:dyDescent="0.25">
      <c r="A87" s="68" t="s">
        <v>732</v>
      </c>
      <c r="B87" s="68" t="s">
        <v>480</v>
      </c>
      <c r="C87" s="75">
        <v>0</v>
      </c>
      <c r="D87" s="74">
        <v>0</v>
      </c>
      <c r="E87" s="75">
        <v>0</v>
      </c>
      <c r="F87" s="75">
        <v>0</v>
      </c>
      <c r="G87" s="75">
        <v>0</v>
      </c>
      <c r="H87" s="75">
        <v>0</v>
      </c>
    </row>
    <row r="88" spans="1:9" x14ac:dyDescent="0.25">
      <c r="A88" s="68" t="s">
        <v>733</v>
      </c>
      <c r="B88" s="68" t="s">
        <v>734</v>
      </c>
      <c r="C88" s="75">
        <v>240280</v>
      </c>
      <c r="D88" s="69">
        <v>221514.31</v>
      </c>
      <c r="E88" s="75">
        <v>221514.31</v>
      </c>
      <c r="F88" s="163">
        <v>258650.34900000002</v>
      </c>
      <c r="G88" s="163">
        <v>258650.34900000002</v>
      </c>
      <c r="H88" s="163">
        <v>269377.39</v>
      </c>
    </row>
    <row r="89" spans="1:9" x14ac:dyDescent="0.25">
      <c r="A89" s="68" t="s">
        <v>735</v>
      </c>
      <c r="B89" s="68" t="s">
        <v>104</v>
      </c>
      <c r="C89" s="75">
        <v>18381</v>
      </c>
      <c r="D89" s="69">
        <v>16945.844714999999</v>
      </c>
      <c r="E89" s="75">
        <v>16945.844714999999</v>
      </c>
      <c r="F89" s="163">
        <v>19786.7516985</v>
      </c>
      <c r="G89" s="163">
        <v>19786.7516985</v>
      </c>
      <c r="H89" s="163">
        <v>19786.7516985</v>
      </c>
    </row>
    <row r="90" spans="1:9" x14ac:dyDescent="0.25">
      <c r="A90" s="68" t="s">
        <v>736</v>
      </c>
      <c r="B90" s="68" t="s">
        <v>106</v>
      </c>
      <c r="C90" s="75">
        <v>30000</v>
      </c>
      <c r="D90" s="76">
        <v>31944.720000000001</v>
      </c>
      <c r="E90" s="75">
        <v>31944.720000000001</v>
      </c>
      <c r="F90" s="163">
        <v>38885.520000000004</v>
      </c>
      <c r="G90" s="163">
        <v>38885.520000000004</v>
      </c>
      <c r="H90" s="163">
        <v>38885.520000000004</v>
      </c>
    </row>
    <row r="91" spans="1:9" x14ac:dyDescent="0.25">
      <c r="A91" s="68" t="s">
        <v>737</v>
      </c>
      <c r="B91" s="68" t="s">
        <v>108</v>
      </c>
      <c r="C91" s="75">
        <v>43335</v>
      </c>
      <c r="D91" s="69">
        <v>50232.110999999997</v>
      </c>
      <c r="E91" s="75">
        <v>50232.110999999997</v>
      </c>
      <c r="F91" s="163">
        <v>53023.255799999999</v>
      </c>
      <c r="G91" s="163">
        <v>53023.255799999999</v>
      </c>
      <c r="H91" s="163">
        <v>53023.255799999999</v>
      </c>
    </row>
    <row r="92" spans="1:9" x14ac:dyDescent="0.25">
      <c r="A92" s="68" t="s">
        <v>738</v>
      </c>
      <c r="B92" s="68" t="s">
        <v>110</v>
      </c>
      <c r="C92" s="75">
        <v>6099</v>
      </c>
      <c r="D92" s="69">
        <v>4262.7552000000005</v>
      </c>
      <c r="E92" s="75">
        <v>4262.7552000000005</v>
      </c>
      <c r="F92" s="163">
        <v>4985.4406399999998</v>
      </c>
      <c r="G92" s="163">
        <v>4985.4406399999998</v>
      </c>
      <c r="H92" s="163">
        <v>4985.4406399999998</v>
      </c>
    </row>
    <row r="93" spans="1:9" x14ac:dyDescent="0.25">
      <c r="A93" s="68" t="s">
        <v>739</v>
      </c>
      <c r="B93" s="68" t="s">
        <v>112</v>
      </c>
      <c r="C93" s="75">
        <v>8000</v>
      </c>
      <c r="D93" s="69">
        <v>0</v>
      </c>
      <c r="E93" s="75">
        <v>10000</v>
      </c>
      <c r="F93" s="75">
        <v>0</v>
      </c>
      <c r="G93" s="75">
        <v>0</v>
      </c>
      <c r="H93" s="75">
        <v>0</v>
      </c>
      <c r="I93" t="s">
        <v>1134</v>
      </c>
    </row>
    <row r="94" spans="1:9" x14ac:dyDescent="0.25">
      <c r="A94" s="68" t="s">
        <v>740</v>
      </c>
      <c r="B94" s="68" t="s">
        <v>114</v>
      </c>
      <c r="C94" s="75">
        <v>99</v>
      </c>
      <c r="D94" s="74">
        <v>72</v>
      </c>
      <c r="E94" s="75">
        <v>72</v>
      </c>
      <c r="F94" s="163">
        <v>76.800000000000011</v>
      </c>
      <c r="G94" s="163">
        <v>76.800000000000011</v>
      </c>
      <c r="H94" s="163">
        <v>76.800000000000011</v>
      </c>
    </row>
    <row r="95" spans="1:9" x14ac:dyDescent="0.25">
      <c r="A95" s="118" t="s">
        <v>741</v>
      </c>
      <c r="B95" s="118" t="s">
        <v>276</v>
      </c>
      <c r="C95" s="75">
        <v>550</v>
      </c>
      <c r="D95" s="119">
        <v>0</v>
      </c>
      <c r="E95" s="75">
        <v>600</v>
      </c>
      <c r="F95" s="75">
        <v>600</v>
      </c>
      <c r="G95" s="75">
        <v>600</v>
      </c>
      <c r="H95" s="75">
        <v>600</v>
      </c>
    </row>
    <row r="96" spans="1:9" x14ac:dyDescent="0.25">
      <c r="A96" s="68" t="s">
        <v>742</v>
      </c>
      <c r="B96" s="68" t="s">
        <v>278</v>
      </c>
      <c r="C96" s="75">
        <v>0</v>
      </c>
      <c r="D96" s="69">
        <v>0</v>
      </c>
      <c r="E96" s="75">
        <v>0</v>
      </c>
      <c r="F96" s="75">
        <v>0</v>
      </c>
      <c r="G96" s="75">
        <v>0</v>
      </c>
      <c r="H96" s="75">
        <v>0</v>
      </c>
    </row>
    <row r="97" spans="1:9" x14ac:dyDescent="0.25">
      <c r="A97" s="68" t="s">
        <v>743</v>
      </c>
      <c r="B97" s="68" t="s">
        <v>280</v>
      </c>
      <c r="C97" s="75">
        <v>5500</v>
      </c>
      <c r="D97" s="69">
        <v>5500</v>
      </c>
      <c r="E97" s="75">
        <v>7000</v>
      </c>
      <c r="F97" s="75">
        <v>7000</v>
      </c>
      <c r="G97" s="75">
        <v>7000</v>
      </c>
      <c r="H97" s="75">
        <v>7000</v>
      </c>
    </row>
    <row r="98" spans="1:9" x14ac:dyDescent="0.25">
      <c r="A98" s="68" t="s">
        <v>744</v>
      </c>
      <c r="B98" s="68" t="s">
        <v>120</v>
      </c>
      <c r="C98" s="75">
        <v>5300</v>
      </c>
      <c r="D98" s="69">
        <v>2800</v>
      </c>
      <c r="E98" s="75">
        <v>2800</v>
      </c>
      <c r="F98" s="75">
        <v>2800</v>
      </c>
      <c r="G98" s="188">
        <v>12000</v>
      </c>
      <c r="H98" s="188">
        <v>12000</v>
      </c>
      <c r="I98" t="s">
        <v>1135</v>
      </c>
    </row>
    <row r="99" spans="1:9" x14ac:dyDescent="0.25">
      <c r="A99" s="68" t="s">
        <v>745</v>
      </c>
      <c r="B99" s="68" t="s">
        <v>124</v>
      </c>
      <c r="C99" s="75">
        <v>10000</v>
      </c>
      <c r="D99" s="69">
        <v>10000</v>
      </c>
      <c r="E99" s="75">
        <v>10000</v>
      </c>
      <c r="F99" s="75">
        <v>10000</v>
      </c>
      <c r="G99" s="75">
        <v>10000</v>
      </c>
      <c r="H99" s="75">
        <v>10000</v>
      </c>
      <c r="I99" t="s">
        <v>1136</v>
      </c>
    </row>
    <row r="100" spans="1:9" x14ac:dyDescent="0.25">
      <c r="A100" s="68" t="s">
        <v>746</v>
      </c>
      <c r="B100" s="68" t="s">
        <v>126</v>
      </c>
      <c r="C100" s="75">
        <v>8000</v>
      </c>
      <c r="D100" s="69">
        <v>8000</v>
      </c>
      <c r="E100" s="75">
        <v>8000</v>
      </c>
      <c r="F100" s="75">
        <v>8000</v>
      </c>
      <c r="G100" s="75">
        <v>8000</v>
      </c>
      <c r="H100" s="75">
        <v>8000</v>
      </c>
    </row>
    <row r="101" spans="1:9" x14ac:dyDescent="0.25">
      <c r="A101" s="68" t="s">
        <v>747</v>
      </c>
      <c r="B101" s="68" t="s">
        <v>287</v>
      </c>
      <c r="C101" s="75">
        <v>6000</v>
      </c>
      <c r="D101" s="69">
        <v>6000</v>
      </c>
      <c r="E101" s="75">
        <v>6000</v>
      </c>
      <c r="F101" s="75">
        <v>6000</v>
      </c>
      <c r="G101" s="75">
        <v>6000</v>
      </c>
      <c r="H101" s="75">
        <v>6000</v>
      </c>
    </row>
    <row r="102" spans="1:9" x14ac:dyDescent="0.25">
      <c r="A102" s="68" t="s">
        <v>748</v>
      </c>
      <c r="B102" s="68" t="s">
        <v>132</v>
      </c>
      <c r="C102" s="75">
        <v>10000</v>
      </c>
      <c r="D102" s="69">
        <v>10000</v>
      </c>
      <c r="E102" s="75">
        <v>100000</v>
      </c>
      <c r="F102" s="75">
        <v>100000</v>
      </c>
      <c r="G102" s="75">
        <v>100000</v>
      </c>
      <c r="H102" s="75">
        <v>100000</v>
      </c>
    </row>
    <row r="103" spans="1:9" x14ac:dyDescent="0.25">
      <c r="A103" s="68" t="s">
        <v>749</v>
      </c>
      <c r="B103" s="68" t="s">
        <v>291</v>
      </c>
      <c r="C103" s="75">
        <v>500</v>
      </c>
      <c r="D103" s="69">
        <v>500</v>
      </c>
      <c r="E103" s="75">
        <v>500</v>
      </c>
      <c r="F103" s="75">
        <v>500</v>
      </c>
      <c r="G103" s="75">
        <v>500</v>
      </c>
      <c r="H103" s="75">
        <v>500</v>
      </c>
    </row>
    <row r="104" spans="1:9" x14ac:dyDescent="0.25">
      <c r="A104" s="68" t="s">
        <v>750</v>
      </c>
      <c r="B104" s="68" t="s">
        <v>295</v>
      </c>
      <c r="C104" s="75">
        <v>0</v>
      </c>
      <c r="D104" s="74">
        <v>0</v>
      </c>
      <c r="E104" s="75">
        <v>0</v>
      </c>
      <c r="F104" s="75">
        <v>0</v>
      </c>
      <c r="G104" s="75">
        <v>0</v>
      </c>
      <c r="H104" s="75">
        <v>0</v>
      </c>
    </row>
    <row r="105" spans="1:9" x14ac:dyDescent="0.25">
      <c r="A105" s="68" t="s">
        <v>751</v>
      </c>
      <c r="B105" s="68" t="s">
        <v>297</v>
      </c>
      <c r="C105" s="75">
        <v>6500</v>
      </c>
      <c r="D105" s="74">
        <v>6500</v>
      </c>
      <c r="E105" s="75">
        <v>6500</v>
      </c>
      <c r="F105" s="75">
        <v>6500</v>
      </c>
      <c r="G105" s="75">
        <v>6500</v>
      </c>
      <c r="H105" s="75">
        <v>6500</v>
      </c>
    </row>
    <row r="106" spans="1:9" x14ac:dyDescent="0.25">
      <c r="A106" s="68" t="s">
        <v>752</v>
      </c>
      <c r="B106" s="68" t="s">
        <v>303</v>
      </c>
      <c r="C106" s="75">
        <v>13800</v>
      </c>
      <c r="D106" s="69">
        <v>13800</v>
      </c>
      <c r="E106" s="75">
        <v>20000</v>
      </c>
      <c r="F106" s="75">
        <v>20000</v>
      </c>
      <c r="G106" s="75">
        <v>20000</v>
      </c>
      <c r="H106" s="75">
        <v>20000</v>
      </c>
    </row>
    <row r="107" spans="1:9" x14ac:dyDescent="0.25">
      <c r="A107" s="68" t="s">
        <v>753</v>
      </c>
      <c r="B107" s="68" t="s">
        <v>754</v>
      </c>
      <c r="C107" s="75">
        <v>1850</v>
      </c>
      <c r="D107" s="69">
        <v>1000</v>
      </c>
      <c r="E107" s="75">
        <v>1850</v>
      </c>
      <c r="F107" s="75">
        <v>1850</v>
      </c>
      <c r="G107" s="75">
        <v>1850</v>
      </c>
      <c r="H107" s="75">
        <v>1850</v>
      </c>
    </row>
    <row r="108" spans="1:9" x14ac:dyDescent="0.25">
      <c r="A108" s="68" t="s">
        <v>755</v>
      </c>
      <c r="B108" s="68" t="s">
        <v>311</v>
      </c>
      <c r="C108" s="75">
        <v>3000</v>
      </c>
      <c r="D108" s="69">
        <v>3000</v>
      </c>
      <c r="E108" s="75">
        <v>3000</v>
      </c>
      <c r="F108" s="75">
        <v>3000</v>
      </c>
      <c r="G108" s="188">
        <v>3500</v>
      </c>
      <c r="H108" s="188">
        <v>3500</v>
      </c>
      <c r="I108" t="s">
        <v>1122</v>
      </c>
    </row>
    <row r="109" spans="1:9" x14ac:dyDescent="0.25">
      <c r="A109" s="68" t="s">
        <v>756</v>
      </c>
      <c r="B109" s="68" t="s">
        <v>313</v>
      </c>
      <c r="C109" s="75">
        <v>8000</v>
      </c>
      <c r="D109" s="69">
        <v>4000</v>
      </c>
      <c r="E109" s="75">
        <v>4000</v>
      </c>
      <c r="F109" s="75">
        <v>4000</v>
      </c>
      <c r="G109" s="188">
        <v>15000</v>
      </c>
      <c r="H109" s="188">
        <v>5000</v>
      </c>
      <c r="I109" s="1" t="s">
        <v>1135</v>
      </c>
    </row>
    <row r="110" spans="1:9" x14ac:dyDescent="0.25">
      <c r="A110" s="68" t="s">
        <v>757</v>
      </c>
      <c r="B110" s="190" t="s">
        <v>1124</v>
      </c>
      <c r="C110" s="75">
        <v>0</v>
      </c>
      <c r="D110" s="69">
        <v>20000</v>
      </c>
      <c r="E110" s="75">
        <v>20000</v>
      </c>
      <c r="F110" s="75">
        <v>20000</v>
      </c>
      <c r="G110" s="188">
        <v>0</v>
      </c>
      <c r="H110" s="188">
        <v>0</v>
      </c>
      <c r="I110" s="1" t="s">
        <v>1137</v>
      </c>
    </row>
    <row r="111" spans="1:9" x14ac:dyDescent="0.25">
      <c r="A111" s="118" t="s">
        <v>758</v>
      </c>
      <c r="B111" s="118" t="s">
        <v>322</v>
      </c>
      <c r="C111" s="75">
        <v>8000</v>
      </c>
      <c r="D111" s="119">
        <v>8000</v>
      </c>
      <c r="E111" s="75">
        <v>8000</v>
      </c>
      <c r="F111" s="75">
        <v>8000</v>
      </c>
      <c r="G111" s="75">
        <v>0</v>
      </c>
      <c r="H111" s="75">
        <v>0</v>
      </c>
      <c r="I111" t="s">
        <v>1138</v>
      </c>
    </row>
    <row r="112" spans="1:9" x14ac:dyDescent="0.25">
      <c r="A112" s="118" t="s">
        <v>759</v>
      </c>
      <c r="B112" s="118" t="s">
        <v>327</v>
      </c>
      <c r="C112" s="75">
        <v>3900</v>
      </c>
      <c r="D112" s="119">
        <v>3900</v>
      </c>
      <c r="E112" s="75">
        <v>3900</v>
      </c>
      <c r="F112" s="75">
        <v>3900</v>
      </c>
      <c r="G112" s="75">
        <v>3900</v>
      </c>
      <c r="H112" s="75">
        <v>3900</v>
      </c>
    </row>
    <row r="113" spans="1:9" x14ac:dyDescent="0.25">
      <c r="A113" s="68" t="s">
        <v>760</v>
      </c>
      <c r="B113" s="68" t="s">
        <v>329</v>
      </c>
      <c r="C113" s="75">
        <v>1200</v>
      </c>
      <c r="D113" s="69">
        <v>1200</v>
      </c>
      <c r="E113" s="75">
        <v>1600</v>
      </c>
      <c r="F113" s="75">
        <v>1600</v>
      </c>
      <c r="G113" s="75">
        <v>1600</v>
      </c>
      <c r="H113" s="75">
        <v>1600</v>
      </c>
    </row>
    <row r="114" spans="1:9" x14ac:dyDescent="0.25">
      <c r="A114" s="68" t="s">
        <v>761</v>
      </c>
      <c r="B114" s="68" t="s">
        <v>636</v>
      </c>
      <c r="C114" s="75">
        <v>1200</v>
      </c>
      <c r="D114" s="69">
        <v>1200</v>
      </c>
      <c r="E114" s="75">
        <v>1500</v>
      </c>
      <c r="F114" s="75">
        <v>1500</v>
      </c>
      <c r="G114" s="75">
        <v>1500</v>
      </c>
      <c r="H114" s="75">
        <v>1500</v>
      </c>
    </row>
    <row r="115" spans="1:9" x14ac:dyDescent="0.25">
      <c r="A115" s="68" t="s">
        <v>762</v>
      </c>
      <c r="B115" s="68" t="s">
        <v>162</v>
      </c>
      <c r="C115" s="75">
        <v>0</v>
      </c>
      <c r="D115" s="69">
        <v>0</v>
      </c>
      <c r="E115" s="75">
        <v>1000</v>
      </c>
      <c r="F115" s="75">
        <v>1000</v>
      </c>
      <c r="G115" s="75">
        <v>1000</v>
      </c>
      <c r="H115" s="75">
        <v>1000</v>
      </c>
    </row>
    <row r="116" spans="1:9" x14ac:dyDescent="0.25">
      <c r="A116" s="68" t="s">
        <v>763</v>
      </c>
      <c r="B116" s="68" t="s">
        <v>348</v>
      </c>
      <c r="C116" s="75">
        <v>1300</v>
      </c>
      <c r="D116" s="69">
        <v>1300</v>
      </c>
      <c r="E116" s="75">
        <v>1500</v>
      </c>
      <c r="F116" s="75">
        <v>1500</v>
      </c>
      <c r="G116" s="188">
        <v>2000</v>
      </c>
      <c r="H116" s="188">
        <v>2000</v>
      </c>
      <c r="I116" t="s">
        <v>1128</v>
      </c>
    </row>
    <row r="117" spans="1:9" x14ac:dyDescent="0.25">
      <c r="A117" s="68" t="s">
        <v>764</v>
      </c>
      <c r="B117" s="68" t="s">
        <v>130</v>
      </c>
      <c r="C117" s="75">
        <v>15000</v>
      </c>
      <c r="D117" s="69">
        <v>15000</v>
      </c>
      <c r="E117" s="75">
        <v>15000</v>
      </c>
      <c r="F117" s="75">
        <v>15000</v>
      </c>
      <c r="G117" s="75">
        <v>15000</v>
      </c>
      <c r="H117" s="75">
        <v>15000</v>
      </c>
    </row>
    <row r="118" spans="1:9" x14ac:dyDescent="0.25">
      <c r="A118" s="68" t="s">
        <v>765</v>
      </c>
      <c r="B118" s="68" t="s">
        <v>766</v>
      </c>
      <c r="C118" s="75">
        <v>25000</v>
      </c>
      <c r="D118" s="69">
        <v>25000</v>
      </c>
      <c r="E118" s="75">
        <v>25000</v>
      </c>
      <c r="F118" s="75">
        <v>25000</v>
      </c>
      <c r="G118" s="75">
        <v>25000</v>
      </c>
      <c r="H118" s="75">
        <v>25000</v>
      </c>
    </row>
    <row r="119" spans="1:9" x14ac:dyDescent="0.25">
      <c r="A119" s="68" t="s">
        <v>767</v>
      </c>
      <c r="B119" s="68" t="s">
        <v>768</v>
      </c>
      <c r="C119" s="75">
        <v>25000</v>
      </c>
      <c r="D119" s="69">
        <v>25000</v>
      </c>
      <c r="E119" s="75">
        <v>25000</v>
      </c>
      <c r="F119" s="75">
        <v>25000</v>
      </c>
      <c r="G119" s="75">
        <v>25000</v>
      </c>
      <c r="H119" s="75">
        <v>25000</v>
      </c>
    </row>
    <row r="120" spans="1:9" x14ac:dyDescent="0.25">
      <c r="A120" s="68" t="s">
        <v>769</v>
      </c>
      <c r="B120" s="68" t="s">
        <v>303</v>
      </c>
      <c r="C120" s="75">
        <v>0</v>
      </c>
      <c r="D120" s="69">
        <v>0</v>
      </c>
      <c r="E120" s="75">
        <v>0</v>
      </c>
      <c r="F120" s="75">
        <v>0</v>
      </c>
      <c r="G120" s="75">
        <v>0</v>
      </c>
      <c r="H120" s="75">
        <v>0</v>
      </c>
    </row>
    <row r="121" spans="1:9" x14ac:dyDescent="0.25">
      <c r="A121" s="68" t="s">
        <v>770</v>
      </c>
      <c r="B121" s="68" t="s">
        <v>771</v>
      </c>
      <c r="C121" s="75">
        <v>1500</v>
      </c>
      <c r="D121" s="69">
        <v>1500</v>
      </c>
      <c r="E121" s="75">
        <v>1500</v>
      </c>
      <c r="F121" s="75">
        <v>1500</v>
      </c>
      <c r="G121" s="75">
        <v>1500</v>
      </c>
      <c r="H121" s="75">
        <v>1500</v>
      </c>
    </row>
    <row r="122" spans="1:9" x14ac:dyDescent="0.25">
      <c r="A122" s="68" t="s">
        <v>772</v>
      </c>
      <c r="B122" s="68" t="s">
        <v>432</v>
      </c>
      <c r="C122" s="75">
        <v>30000</v>
      </c>
      <c r="D122" s="69">
        <v>23000</v>
      </c>
      <c r="E122" s="75">
        <v>23000</v>
      </c>
      <c r="F122" s="75">
        <v>23000</v>
      </c>
      <c r="G122" s="75">
        <f>23000+10000</f>
        <v>33000</v>
      </c>
      <c r="H122" s="75">
        <f>23000+10000</f>
        <v>33000</v>
      </c>
    </row>
    <row r="123" spans="1:9" x14ac:dyDescent="0.25">
      <c r="A123" s="68" t="s">
        <v>773</v>
      </c>
      <c r="B123" s="68" t="s">
        <v>774</v>
      </c>
      <c r="C123" s="75">
        <v>35000</v>
      </c>
      <c r="D123" s="69">
        <v>35000</v>
      </c>
      <c r="E123" s="75">
        <v>35000</v>
      </c>
      <c r="F123" s="75">
        <v>35000</v>
      </c>
      <c r="G123" s="75">
        <v>35000</v>
      </c>
      <c r="H123" s="75">
        <v>35000</v>
      </c>
    </row>
    <row r="124" spans="1:9" x14ac:dyDescent="0.25">
      <c r="A124" s="68" t="s">
        <v>775</v>
      </c>
      <c r="B124" s="68" t="s">
        <v>776</v>
      </c>
      <c r="C124" s="75">
        <v>20000</v>
      </c>
      <c r="D124" s="69">
        <v>20000</v>
      </c>
      <c r="E124" s="75">
        <v>20000</v>
      </c>
      <c r="F124" s="75">
        <v>20000</v>
      </c>
      <c r="G124" s="75">
        <v>20000</v>
      </c>
      <c r="H124" s="75">
        <v>20000</v>
      </c>
    </row>
    <row r="125" spans="1:9" x14ac:dyDescent="0.25">
      <c r="A125" s="68" t="s">
        <v>777</v>
      </c>
      <c r="B125" s="68" t="s">
        <v>778</v>
      </c>
      <c r="C125" s="75">
        <v>21000</v>
      </c>
      <c r="D125" s="69">
        <v>21000</v>
      </c>
      <c r="E125" s="75">
        <v>21000</v>
      </c>
      <c r="F125" s="75">
        <v>21000</v>
      </c>
      <c r="G125" s="75">
        <v>21000</v>
      </c>
      <c r="H125" s="75">
        <v>21000</v>
      </c>
    </row>
    <row r="126" spans="1:9" x14ac:dyDescent="0.25">
      <c r="A126" s="68" t="s">
        <v>779</v>
      </c>
      <c r="B126" s="68" t="s">
        <v>780</v>
      </c>
      <c r="C126" s="75">
        <v>0</v>
      </c>
      <c r="D126" s="69">
        <v>0</v>
      </c>
      <c r="E126" s="75">
        <v>0</v>
      </c>
      <c r="F126" s="75">
        <v>0</v>
      </c>
      <c r="G126" s="75">
        <v>0</v>
      </c>
      <c r="H126" s="75">
        <v>0</v>
      </c>
    </row>
    <row r="127" spans="1:9" x14ac:dyDescent="0.25">
      <c r="A127" s="68" t="s">
        <v>781</v>
      </c>
      <c r="B127" s="68" t="s">
        <v>782</v>
      </c>
      <c r="C127" s="75">
        <v>430000</v>
      </c>
      <c r="D127" s="69">
        <v>430000</v>
      </c>
      <c r="E127" s="75">
        <v>430000</v>
      </c>
      <c r="F127" s="75">
        <v>430000</v>
      </c>
      <c r="G127" s="75">
        <v>430000</v>
      </c>
      <c r="H127" s="75">
        <v>430000</v>
      </c>
    </row>
    <row r="128" spans="1:9" x14ac:dyDescent="0.25">
      <c r="A128" s="68" t="s">
        <v>783</v>
      </c>
      <c r="B128" s="68" t="s">
        <v>23</v>
      </c>
      <c r="C128" s="75">
        <v>63620</v>
      </c>
      <c r="D128" s="69">
        <v>63620</v>
      </c>
      <c r="E128" s="75">
        <v>63620</v>
      </c>
      <c r="F128" s="75">
        <v>63620</v>
      </c>
      <c r="G128" s="75">
        <v>63620</v>
      </c>
      <c r="H128" s="75">
        <v>63620</v>
      </c>
    </row>
    <row r="129" spans="1:9" x14ac:dyDescent="0.25">
      <c r="A129" s="68" t="s">
        <v>784</v>
      </c>
      <c r="B129" s="68" t="s">
        <v>158</v>
      </c>
      <c r="C129" s="75">
        <v>0</v>
      </c>
      <c r="D129" s="69">
        <v>0</v>
      </c>
      <c r="E129" s="75">
        <v>0</v>
      </c>
      <c r="F129" s="75">
        <v>0</v>
      </c>
      <c r="G129" s="75">
        <v>0</v>
      </c>
      <c r="H129" s="75">
        <v>0</v>
      </c>
    </row>
    <row r="130" spans="1:9" x14ac:dyDescent="0.25">
      <c r="A130" s="68" t="s">
        <v>785</v>
      </c>
      <c r="B130" s="68" t="s">
        <v>43</v>
      </c>
      <c r="C130" s="75">
        <v>111558</v>
      </c>
      <c r="D130" s="69">
        <v>111558</v>
      </c>
      <c r="E130" s="75">
        <v>111558</v>
      </c>
      <c r="F130" s="75">
        <v>111558</v>
      </c>
      <c r="G130" s="75">
        <v>111558</v>
      </c>
      <c r="H130" s="75">
        <v>111558</v>
      </c>
    </row>
    <row r="131" spans="1:9" x14ac:dyDescent="0.25">
      <c r="A131" s="68" t="s">
        <v>786</v>
      </c>
      <c r="B131" s="68" t="s">
        <v>787</v>
      </c>
      <c r="C131" s="75">
        <v>0</v>
      </c>
      <c r="D131" s="69">
        <v>0</v>
      </c>
      <c r="E131" s="75">
        <v>0</v>
      </c>
      <c r="F131" s="75">
        <v>0</v>
      </c>
      <c r="G131" s="75">
        <v>0</v>
      </c>
      <c r="H131" s="75">
        <v>0</v>
      </c>
    </row>
    <row r="132" spans="1:9" x14ac:dyDescent="0.25">
      <c r="A132" s="68" t="s">
        <v>788</v>
      </c>
      <c r="B132" s="68" t="s">
        <v>344</v>
      </c>
      <c r="C132" s="75">
        <v>5866000</v>
      </c>
      <c r="D132" s="69">
        <v>11180500</v>
      </c>
      <c r="E132" s="176">
        <v>7500000</v>
      </c>
      <c r="F132" s="176">
        <v>3620000</v>
      </c>
      <c r="G132" s="75">
        <v>3620000</v>
      </c>
      <c r="H132" s="176">
        <v>1040000</v>
      </c>
    </row>
    <row r="133" spans="1:9" x14ac:dyDescent="0.25">
      <c r="A133" s="68" t="s">
        <v>789</v>
      </c>
      <c r="B133" s="68" t="s">
        <v>164</v>
      </c>
      <c r="C133" s="75">
        <v>0</v>
      </c>
      <c r="D133" s="69">
        <v>0</v>
      </c>
      <c r="E133" s="75">
        <v>0</v>
      </c>
      <c r="F133" s="75">
        <v>0</v>
      </c>
      <c r="G133" s="75">
        <v>0</v>
      </c>
      <c r="H133" s="75">
        <v>0</v>
      </c>
    </row>
    <row r="134" spans="1:9" ht="15.75" thickBot="1" x14ac:dyDescent="0.3">
      <c r="A134" s="167" t="s">
        <v>800</v>
      </c>
      <c r="B134" s="167" t="s">
        <v>801</v>
      </c>
      <c r="C134" s="168">
        <v>26000</v>
      </c>
      <c r="D134" s="169">
        <v>26000</v>
      </c>
      <c r="E134" s="168">
        <v>26000</v>
      </c>
      <c r="F134" s="168">
        <v>28500</v>
      </c>
      <c r="G134" s="168">
        <v>28500</v>
      </c>
      <c r="H134" s="168">
        <v>28500</v>
      </c>
      <c r="I134" s="88"/>
    </row>
    <row r="135" spans="1:9" x14ac:dyDescent="0.25">
      <c r="A135" s="164" t="s">
        <v>802</v>
      </c>
      <c r="B135" s="164" t="s">
        <v>467</v>
      </c>
      <c r="C135" s="165">
        <v>0</v>
      </c>
      <c r="D135" s="170">
        <v>0</v>
      </c>
      <c r="E135" s="165">
        <v>0</v>
      </c>
      <c r="F135" s="165">
        <v>0</v>
      </c>
      <c r="G135" s="165">
        <v>0</v>
      </c>
      <c r="H135" s="165">
        <v>0</v>
      </c>
    </row>
    <row r="136" spans="1:9" x14ac:dyDescent="0.25">
      <c r="A136" s="68" t="s">
        <v>803</v>
      </c>
      <c r="B136" s="68" t="s">
        <v>267</v>
      </c>
      <c r="C136" s="75">
        <v>0</v>
      </c>
      <c r="D136" s="69">
        <v>0</v>
      </c>
      <c r="E136" s="75">
        <v>0</v>
      </c>
      <c r="F136" s="75">
        <v>0</v>
      </c>
      <c r="G136" s="75">
        <v>0</v>
      </c>
      <c r="H136" s="75">
        <v>0</v>
      </c>
    </row>
    <row r="137" spans="1:9" x14ac:dyDescent="0.25">
      <c r="A137" s="68" t="s">
        <v>862</v>
      </c>
      <c r="B137" s="68" t="s">
        <v>900</v>
      </c>
      <c r="C137" s="75"/>
      <c r="D137" s="69"/>
      <c r="E137" s="75">
        <v>0</v>
      </c>
      <c r="F137" s="163">
        <v>8659.8013600000013</v>
      </c>
      <c r="G137" s="163">
        <v>8659.8013600000013</v>
      </c>
      <c r="H137" s="163">
        <v>8659.8013600000013</v>
      </c>
    </row>
    <row r="138" spans="1:9" x14ac:dyDescent="0.25">
      <c r="A138" s="68" t="s">
        <v>863</v>
      </c>
      <c r="B138" s="68" t="s">
        <v>901</v>
      </c>
      <c r="C138" s="75"/>
      <c r="D138" s="69"/>
      <c r="E138" s="75">
        <v>0</v>
      </c>
      <c r="F138" s="163">
        <v>662.47480404000009</v>
      </c>
      <c r="G138" s="163">
        <v>662.47480404000009</v>
      </c>
      <c r="H138" s="163">
        <v>662.47480404000009</v>
      </c>
    </row>
    <row r="139" spans="1:9" x14ac:dyDescent="0.25">
      <c r="A139" s="68" t="s">
        <v>864</v>
      </c>
      <c r="B139" s="68" t="s">
        <v>106</v>
      </c>
      <c r="C139" s="75"/>
      <c r="D139" s="69"/>
      <c r="E139" s="75">
        <v>0</v>
      </c>
      <c r="F139" s="163">
        <v>1134</v>
      </c>
      <c r="G139" s="163">
        <v>1134</v>
      </c>
      <c r="H139" s="163">
        <v>1134</v>
      </c>
    </row>
    <row r="140" spans="1:9" x14ac:dyDescent="0.25">
      <c r="A140" s="68" t="s">
        <v>865</v>
      </c>
      <c r="B140" s="68" t="s">
        <v>902</v>
      </c>
      <c r="C140" s="75"/>
      <c r="D140" s="69"/>
      <c r="E140" s="75">
        <v>0</v>
      </c>
      <c r="F140" s="163">
        <v>1046.8824</v>
      </c>
      <c r="G140" s="163">
        <v>1046.8824</v>
      </c>
      <c r="H140" s="163">
        <v>1046.8824</v>
      </c>
    </row>
    <row r="141" spans="1:9" x14ac:dyDescent="0.25">
      <c r="A141" s="68" t="s">
        <v>866</v>
      </c>
      <c r="B141" s="68" t="s">
        <v>903</v>
      </c>
      <c r="C141" s="75"/>
      <c r="D141" s="69"/>
      <c r="E141" s="75">
        <v>0</v>
      </c>
      <c r="F141" s="163">
        <v>158.19072</v>
      </c>
      <c r="G141" s="163">
        <v>158.19072</v>
      </c>
      <c r="H141" s="163">
        <v>158.19072</v>
      </c>
    </row>
    <row r="142" spans="1:9" x14ac:dyDescent="0.25">
      <c r="A142" s="68" t="s">
        <v>868</v>
      </c>
      <c r="B142" s="68" t="s">
        <v>114</v>
      </c>
      <c r="C142" s="75"/>
      <c r="D142" s="69"/>
      <c r="E142" s="75">
        <v>0</v>
      </c>
      <c r="F142" s="163">
        <v>19.200000000000003</v>
      </c>
      <c r="G142" s="163">
        <v>19.200000000000003</v>
      </c>
      <c r="H142" s="163">
        <v>19.200000000000003</v>
      </c>
    </row>
    <row r="143" spans="1:9" x14ac:dyDescent="0.25">
      <c r="A143" s="68" t="s">
        <v>804</v>
      </c>
      <c r="B143" s="68" t="s">
        <v>291</v>
      </c>
      <c r="C143" s="75">
        <v>0</v>
      </c>
      <c r="D143" s="69">
        <v>0</v>
      </c>
      <c r="E143" s="75">
        <v>0</v>
      </c>
      <c r="F143" s="75">
        <v>0</v>
      </c>
      <c r="G143" s="75">
        <v>0</v>
      </c>
      <c r="H143" s="75">
        <v>0</v>
      </c>
    </row>
    <row r="144" spans="1:9" x14ac:dyDescent="0.25">
      <c r="A144" s="68" t="s">
        <v>805</v>
      </c>
      <c r="B144" s="68" t="s">
        <v>295</v>
      </c>
      <c r="C144" s="75">
        <v>0</v>
      </c>
      <c r="D144" s="69">
        <v>0</v>
      </c>
      <c r="E144" s="75">
        <v>0</v>
      </c>
      <c r="F144" s="75">
        <v>0</v>
      </c>
      <c r="G144" s="75">
        <v>0</v>
      </c>
      <c r="H144" s="75">
        <v>0</v>
      </c>
    </row>
    <row r="145" spans="1:8" x14ac:dyDescent="0.25">
      <c r="A145" s="68" t="s">
        <v>806</v>
      </c>
      <c r="B145" s="68" t="s">
        <v>432</v>
      </c>
      <c r="C145" s="75">
        <v>4000</v>
      </c>
      <c r="D145" s="69">
        <v>4000</v>
      </c>
      <c r="E145" s="75">
        <v>4000</v>
      </c>
      <c r="F145" s="75">
        <v>4000</v>
      </c>
      <c r="G145" s="75">
        <v>4000</v>
      </c>
      <c r="H145" s="75">
        <v>4000</v>
      </c>
    </row>
    <row r="146" spans="1:8" x14ac:dyDescent="0.25">
      <c r="A146" s="68" t="s">
        <v>807</v>
      </c>
      <c r="B146" s="68" t="s">
        <v>808</v>
      </c>
      <c r="C146" s="75">
        <v>18824</v>
      </c>
      <c r="D146" s="69">
        <v>18824</v>
      </c>
      <c r="E146" s="75">
        <v>18240</v>
      </c>
      <c r="F146" s="75">
        <v>18240</v>
      </c>
      <c r="G146" s="75">
        <v>18240</v>
      </c>
      <c r="H146" s="75">
        <v>18240</v>
      </c>
    </row>
    <row r="147" spans="1:8" x14ac:dyDescent="0.25">
      <c r="A147" s="68" t="s">
        <v>809</v>
      </c>
      <c r="B147" s="68" t="s">
        <v>315</v>
      </c>
      <c r="C147" s="75">
        <v>0</v>
      </c>
      <c r="D147" s="69">
        <v>0</v>
      </c>
      <c r="E147" s="75">
        <v>0</v>
      </c>
      <c r="F147" s="75">
        <v>0</v>
      </c>
      <c r="G147" s="75">
        <v>0</v>
      </c>
      <c r="H147" s="75">
        <v>0</v>
      </c>
    </row>
    <row r="148" spans="1:8" x14ac:dyDescent="0.25">
      <c r="A148" s="68" t="s">
        <v>810</v>
      </c>
      <c r="B148" s="68" t="s">
        <v>43</v>
      </c>
      <c r="C148" s="75">
        <v>2122</v>
      </c>
      <c r="D148" s="69">
        <v>2122</v>
      </c>
      <c r="E148" s="75">
        <v>2122</v>
      </c>
      <c r="F148" s="75">
        <v>2122</v>
      </c>
      <c r="G148" s="75">
        <v>2122</v>
      </c>
      <c r="H148" s="75">
        <v>2122</v>
      </c>
    </row>
    <row r="149" spans="1:8" x14ac:dyDescent="0.25">
      <c r="A149" s="68" t="s">
        <v>811</v>
      </c>
      <c r="B149" s="68" t="s">
        <v>344</v>
      </c>
      <c r="C149" s="75">
        <v>0</v>
      </c>
      <c r="D149" s="69">
        <v>0</v>
      </c>
      <c r="E149" s="75">
        <v>0</v>
      </c>
      <c r="F149" s="75">
        <v>0</v>
      </c>
      <c r="G149" s="75">
        <v>0</v>
      </c>
      <c r="H149" s="75">
        <v>0</v>
      </c>
    </row>
    <row r="150" spans="1:8" x14ac:dyDescent="0.25">
      <c r="A150" s="68" t="s">
        <v>812</v>
      </c>
      <c r="B150" s="68" t="s">
        <v>164</v>
      </c>
      <c r="C150" s="75">
        <v>0</v>
      </c>
      <c r="D150" s="69">
        <v>0</v>
      </c>
      <c r="E150" s="75">
        <v>0</v>
      </c>
      <c r="F150" s="75">
        <v>0</v>
      </c>
      <c r="G150" s="75">
        <v>0</v>
      </c>
      <c r="H150" s="75">
        <v>0</v>
      </c>
    </row>
    <row r="151" spans="1:8" x14ac:dyDescent="0.25">
      <c r="A151" s="68"/>
      <c r="B151" s="68"/>
      <c r="C151" s="75"/>
      <c r="D151" s="69"/>
      <c r="E151" s="75"/>
      <c r="F151" s="75"/>
      <c r="G151" s="75"/>
      <c r="H151" s="75"/>
    </row>
  </sheetData>
  <autoFilter ref="A3:H150" xr:uid="{F0A1358C-CE29-4C19-8614-2B943CDF5E47}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B1A9-8897-4F5F-BE55-85F454D138AD}">
  <sheetPr>
    <tabColor theme="9" tint="0.59999389629810485"/>
    <pageSetUpPr fitToPage="1"/>
  </sheetPr>
  <dimension ref="A1:Q85"/>
  <sheetViews>
    <sheetView zoomScaleNormal="100" zoomScaleSheetLayoutView="85" workbookViewId="0">
      <selection activeCell="F22" sqref="F22"/>
    </sheetView>
  </sheetViews>
  <sheetFormatPr defaultRowHeight="15" x14ac:dyDescent="0.25"/>
  <cols>
    <col min="1" max="1" width="27.140625" style="1" customWidth="1"/>
    <col min="2" max="4" width="13.5703125" style="1" customWidth="1"/>
    <col min="5" max="5" width="16.42578125" style="1" customWidth="1"/>
    <col min="6" max="7" width="13.5703125" style="1" customWidth="1"/>
    <col min="8" max="8" width="21.85546875" style="1" bestFit="1" customWidth="1"/>
    <col min="9" max="9" width="9" style="1" bestFit="1" customWidth="1"/>
    <col min="10" max="10" width="16.5703125" style="10" bestFit="1" customWidth="1"/>
    <col min="11" max="11" width="12.28515625" style="1" bestFit="1" customWidth="1"/>
    <col min="12" max="16" width="9.140625" style="1"/>
    <col min="17" max="17" width="13.42578125" style="1" bestFit="1" customWidth="1"/>
    <col min="18" max="16384" width="9.140625" style="1"/>
  </cols>
  <sheetData>
    <row r="1" spans="1:17" x14ac:dyDescent="0.25">
      <c r="A1" s="7" t="s">
        <v>825</v>
      </c>
    </row>
    <row r="2" spans="1:17" x14ac:dyDescent="0.25">
      <c r="A2" s="77" t="s">
        <v>1147</v>
      </c>
      <c r="B2" s="4"/>
      <c r="C2" s="4"/>
      <c r="D2" s="4"/>
      <c r="E2" s="4"/>
      <c r="F2" s="4"/>
      <c r="G2" s="4"/>
      <c r="H2" s="4"/>
    </row>
    <row r="3" spans="1:17" x14ac:dyDescent="0.25">
      <c r="B3" s="5" t="s">
        <v>888</v>
      </c>
      <c r="C3" s="5" t="s">
        <v>889</v>
      </c>
      <c r="F3" s="5" t="s">
        <v>888</v>
      </c>
      <c r="G3" s="5" t="s">
        <v>889</v>
      </c>
      <c r="J3" s="1"/>
    </row>
    <row r="4" spans="1:17" x14ac:dyDescent="0.25">
      <c r="A4" s="1" t="s">
        <v>890</v>
      </c>
      <c r="B4" s="33">
        <v>2045.86</v>
      </c>
      <c r="C4" s="33">
        <f>B4*12</f>
        <v>24550.32</v>
      </c>
      <c r="E4" s="1" t="s">
        <v>891</v>
      </c>
      <c r="F4" s="37">
        <v>0.02</v>
      </c>
      <c r="J4" s="1"/>
    </row>
    <row r="5" spans="1:17" x14ac:dyDescent="0.25">
      <c r="A5" s="1" t="s">
        <v>892</v>
      </c>
      <c r="B5" s="10">
        <v>130.41999999999999</v>
      </c>
      <c r="C5" s="10">
        <f>B5*12</f>
        <v>1565.04</v>
      </c>
      <c r="E5" s="1" t="s">
        <v>106</v>
      </c>
      <c r="F5" s="38">
        <v>0.2</v>
      </c>
      <c r="J5" s="1"/>
    </row>
    <row r="6" spans="1:17" x14ac:dyDescent="0.25">
      <c r="A6" s="1" t="s">
        <v>893</v>
      </c>
      <c r="B6" s="36">
        <v>5.0000000000000001E-3</v>
      </c>
      <c r="C6" s="10"/>
      <c r="E6" s="1" t="s">
        <v>894</v>
      </c>
      <c r="F6" s="37">
        <v>7.6499999999999999E-2</v>
      </c>
      <c r="J6" s="1"/>
    </row>
    <row r="7" spans="1:17" x14ac:dyDescent="0.25">
      <c r="A7" s="1" t="s">
        <v>895</v>
      </c>
      <c r="B7" s="10">
        <v>3.2</v>
      </c>
      <c r="C7" s="10">
        <f>B7*12</f>
        <v>38.400000000000006</v>
      </c>
      <c r="E7" s="3" t="s">
        <v>896</v>
      </c>
      <c r="G7" s="182">
        <v>2.5000000000000001E-2</v>
      </c>
      <c r="J7" s="1"/>
    </row>
    <row r="8" spans="1:17" x14ac:dyDescent="0.25">
      <c r="E8" s="181" t="s">
        <v>897</v>
      </c>
      <c r="G8" s="183">
        <v>2.5000000000000001E-2</v>
      </c>
      <c r="J8" s="1"/>
    </row>
    <row r="9" spans="1:17" x14ac:dyDescent="0.25">
      <c r="A9" s="40" t="s">
        <v>898</v>
      </c>
      <c r="B9" s="41" t="s">
        <v>268</v>
      </c>
      <c r="C9" s="41" t="s">
        <v>269</v>
      </c>
      <c r="D9" s="41" t="s">
        <v>270</v>
      </c>
      <c r="E9" s="41" t="s">
        <v>271</v>
      </c>
      <c r="F9" s="41" t="s">
        <v>272</v>
      </c>
      <c r="G9" s="41" t="s">
        <v>274</v>
      </c>
      <c r="I9" s="47" t="s">
        <v>899</v>
      </c>
      <c r="J9" s="47" t="s">
        <v>899</v>
      </c>
      <c r="P9" s="1" t="s">
        <v>268</v>
      </c>
      <c r="Q9" s="10">
        <f>_xlfn.XLOOKUP(P9,$B$9:$G$9,$B$22:$G$22,0)</f>
        <v>821625</v>
      </c>
    </row>
    <row r="10" spans="1:17" s="6" customFormat="1" x14ac:dyDescent="0.25">
      <c r="B10" s="5" t="s">
        <v>900</v>
      </c>
      <c r="C10" s="5" t="s">
        <v>901</v>
      </c>
      <c r="D10" s="5" t="s">
        <v>106</v>
      </c>
      <c r="E10" s="5" t="s">
        <v>902</v>
      </c>
      <c r="F10" s="5" t="s">
        <v>903</v>
      </c>
      <c r="G10" s="5" t="s">
        <v>114</v>
      </c>
      <c r="H10" s="5" t="s">
        <v>904</v>
      </c>
      <c r="I10" s="5" t="s">
        <v>905</v>
      </c>
      <c r="J10" s="5" t="s">
        <v>906</v>
      </c>
      <c r="P10" s="6" t="s">
        <v>269</v>
      </c>
      <c r="Q10" s="10">
        <f t="shared" ref="Q10:Q15" si="0">_xlfn.XLOOKUP(P10,$B$9:$G$9,$B$22:$G$22,0)</f>
        <v>62854.312500000007</v>
      </c>
    </row>
    <row r="11" spans="1:17" x14ac:dyDescent="0.25">
      <c r="A11" s="7" t="s">
        <v>907</v>
      </c>
      <c r="B11" s="10"/>
      <c r="C11" s="10"/>
      <c r="D11" s="10"/>
      <c r="E11" s="10"/>
      <c r="F11" s="10"/>
      <c r="G11" s="10"/>
      <c r="I11" s="7"/>
      <c r="J11" s="42"/>
      <c r="P11" s="1" t="s">
        <v>270</v>
      </c>
      <c r="Q11" s="10">
        <f t="shared" si="0"/>
        <v>125685</v>
      </c>
    </row>
    <row r="12" spans="1:17" x14ac:dyDescent="0.25">
      <c r="A12" s="1" t="s">
        <v>908</v>
      </c>
      <c r="B12" s="50">
        <f>J12*I12</f>
        <v>141750</v>
      </c>
      <c r="C12" s="48">
        <f t="shared" ref="C12:C20" si="1">B12*$F$6</f>
        <v>10843.875</v>
      </c>
      <c r="D12" s="48">
        <f>B12*$F$5</f>
        <v>28350</v>
      </c>
      <c r="E12" s="48" cm="1">
        <f t="array" ref="E12">SUM(($C$4:$C$5)+(B12*$B$6))*I12</f>
        <v>27532.86</v>
      </c>
      <c r="F12" s="48">
        <f t="shared" ref="F12:F20" si="2">B12*$F$4</f>
        <v>2835</v>
      </c>
      <c r="G12" s="48">
        <v>0</v>
      </c>
      <c r="I12" s="49">
        <v>1</v>
      </c>
      <c r="J12" s="49">
        <v>141750</v>
      </c>
      <c r="K12" s="162"/>
      <c r="P12" s="1" t="s">
        <v>271</v>
      </c>
      <c r="Q12" s="10">
        <f t="shared" si="0"/>
        <v>277457.47499999998</v>
      </c>
    </row>
    <row r="13" spans="1:17" x14ac:dyDescent="0.25">
      <c r="A13" s="1" t="s">
        <v>1148</v>
      </c>
      <c r="B13" s="50">
        <f>J13*I13</f>
        <v>42000</v>
      </c>
      <c r="C13" s="50">
        <f t="shared" si="1"/>
        <v>3213</v>
      </c>
      <c r="D13" s="50">
        <f>B13*$F$5</f>
        <v>8400</v>
      </c>
      <c r="E13" s="50" cm="1">
        <f t="array" ref="E13">SUM(($C$4:$C$5)+(B13*$B$6))*I13</f>
        <v>26535.360000000001</v>
      </c>
      <c r="F13" s="50">
        <f t="shared" si="2"/>
        <v>840</v>
      </c>
      <c r="G13" s="50">
        <v>0</v>
      </c>
      <c r="I13" s="49">
        <v>1</v>
      </c>
      <c r="J13" s="49">
        <v>42000</v>
      </c>
      <c r="K13" s="162"/>
      <c r="P13" s="1" t="s">
        <v>272</v>
      </c>
      <c r="Q13" s="10">
        <f t="shared" si="0"/>
        <v>16432.5</v>
      </c>
    </row>
    <row r="14" spans="1:17" x14ac:dyDescent="0.25">
      <c r="A14" s="1" t="s">
        <v>1148</v>
      </c>
      <c r="B14" s="50">
        <f t="shared" ref="B14:B20" si="3">J14*I14</f>
        <v>38850</v>
      </c>
      <c r="C14" s="50">
        <f t="shared" si="1"/>
        <v>2972.0250000000001</v>
      </c>
      <c r="D14" s="50">
        <f>B14*$F$5</f>
        <v>7770</v>
      </c>
      <c r="E14" s="50" cm="1">
        <f t="array" ref="E14">SUM(($C$4:$C$5)+(B14*$B$6))*I14</f>
        <v>26503.86</v>
      </c>
      <c r="F14" s="50">
        <f t="shared" si="2"/>
        <v>777</v>
      </c>
      <c r="G14" s="50">
        <v>0</v>
      </c>
      <c r="I14" s="49">
        <v>1</v>
      </c>
      <c r="J14" s="49">
        <v>38850</v>
      </c>
      <c r="K14" s="162"/>
      <c r="P14" s="1" t="s">
        <v>274</v>
      </c>
      <c r="Q14" s="10">
        <f t="shared" si="0"/>
        <v>38.400000000000006</v>
      </c>
    </row>
    <row r="15" spans="1:17" x14ac:dyDescent="0.25">
      <c r="A15" s="78" t="s">
        <v>1148</v>
      </c>
      <c r="B15" s="79">
        <f>J15*I15</f>
        <v>75600</v>
      </c>
      <c r="C15" s="79">
        <f t="shared" si="1"/>
        <v>5783.4</v>
      </c>
      <c r="D15" s="79">
        <f>B15*$F$5</f>
        <v>15120</v>
      </c>
      <c r="E15" s="79" cm="1">
        <f t="array" ref="E15">SUM(($C$4:$C$5)+(B15*$B$6))*I15</f>
        <v>53742.720000000001</v>
      </c>
      <c r="F15" s="79">
        <f t="shared" si="2"/>
        <v>1512</v>
      </c>
      <c r="G15" s="79">
        <v>0</v>
      </c>
      <c r="H15" s="78" t="s">
        <v>1149</v>
      </c>
      <c r="I15" s="49">
        <v>2</v>
      </c>
      <c r="J15" s="49">
        <v>37800</v>
      </c>
      <c r="K15" s="162"/>
      <c r="P15" s="1" t="s">
        <v>274</v>
      </c>
      <c r="Q15" s="10">
        <f t="shared" si="0"/>
        <v>38.400000000000006</v>
      </c>
    </row>
    <row r="16" spans="1:17" x14ac:dyDescent="0.25">
      <c r="A16" s="78" t="s">
        <v>909</v>
      </c>
      <c r="B16" s="79">
        <f>J16*I16</f>
        <v>304500</v>
      </c>
      <c r="C16" s="79">
        <f t="shared" si="1"/>
        <v>23294.25</v>
      </c>
      <c r="D16" s="79">
        <f>B16*$F$5</f>
        <v>60900</v>
      </c>
      <c r="E16" s="79" cm="1">
        <f t="array" ref="E16">SUM(($C$4:$C$5)+(B16*$B$6))*I16</f>
        <v>116641.44</v>
      </c>
      <c r="F16" s="79">
        <f t="shared" si="2"/>
        <v>6090</v>
      </c>
      <c r="G16" s="79">
        <v>0</v>
      </c>
      <c r="H16" s="78" t="s">
        <v>1150</v>
      </c>
      <c r="I16" s="49">
        <v>4</v>
      </c>
      <c r="J16" s="49">
        <v>76125</v>
      </c>
      <c r="K16" s="162"/>
    </row>
    <row r="17" spans="1:17" x14ac:dyDescent="0.25">
      <c r="A17" s="1" t="s">
        <v>910</v>
      </c>
      <c r="B17" s="62">
        <f t="shared" si="3"/>
        <v>126000</v>
      </c>
      <c r="C17" s="62">
        <f t="shared" si="1"/>
        <v>9639</v>
      </c>
      <c r="D17" s="62">
        <v>0</v>
      </c>
      <c r="E17" s="62">
        <v>0</v>
      </c>
      <c r="F17" s="62">
        <f t="shared" si="2"/>
        <v>2520</v>
      </c>
      <c r="G17" s="62">
        <v>0</v>
      </c>
      <c r="I17" s="49">
        <v>1</v>
      </c>
      <c r="J17" s="49">
        <v>126000</v>
      </c>
      <c r="K17" s="162"/>
    </row>
    <row r="18" spans="1:17" x14ac:dyDescent="0.25">
      <c r="A18" s="1" t="s">
        <v>911</v>
      </c>
      <c r="B18" s="50">
        <f>J18*I18</f>
        <v>40950</v>
      </c>
      <c r="C18" s="50">
        <f t="shared" si="1"/>
        <v>3132.6749999999997</v>
      </c>
      <c r="D18" s="50">
        <f>ROUND((B18*$F$5)/3,2)</f>
        <v>2730</v>
      </c>
      <c r="E18" s="50" cm="1">
        <f t="array" ref="E18">SUM(($C$4:$C$5)+(B18*$B$6))*I18</f>
        <v>13262.43</v>
      </c>
      <c r="F18" s="50">
        <f t="shared" si="2"/>
        <v>819</v>
      </c>
      <c r="G18" s="50">
        <f>$C$7*I18</f>
        <v>19.200000000000003</v>
      </c>
      <c r="I18" s="49">
        <v>0.5</v>
      </c>
      <c r="J18" s="49">
        <v>81900</v>
      </c>
      <c r="K18" s="162"/>
    </row>
    <row r="19" spans="1:17" x14ac:dyDescent="0.25">
      <c r="A19" s="78" t="s">
        <v>912</v>
      </c>
      <c r="B19" s="79">
        <f t="shared" si="3"/>
        <v>36225</v>
      </c>
      <c r="C19" s="79">
        <f t="shared" si="1"/>
        <v>2771.2125000000001</v>
      </c>
      <c r="D19" s="79">
        <f>ROUND((B19*$F$5)/3,2)</f>
        <v>2415</v>
      </c>
      <c r="E19" s="79" cm="1">
        <f t="array" ref="E19">SUM(($C$4:$C$5)+(B19*$B$6))*I19</f>
        <v>13238.805</v>
      </c>
      <c r="F19" s="79">
        <f t="shared" si="2"/>
        <v>724.5</v>
      </c>
      <c r="G19" s="79">
        <f>$C$7*I19</f>
        <v>19.200000000000003</v>
      </c>
      <c r="H19" s="78" t="s">
        <v>929</v>
      </c>
      <c r="I19" s="49">
        <v>0.5</v>
      </c>
      <c r="J19" s="49">
        <v>72450</v>
      </c>
      <c r="K19" s="162"/>
    </row>
    <row r="20" spans="1:17" x14ac:dyDescent="0.25">
      <c r="A20" s="1" t="s">
        <v>913</v>
      </c>
      <c r="B20" s="50">
        <f t="shared" si="3"/>
        <v>15750</v>
      </c>
      <c r="C20" s="50">
        <f t="shared" si="1"/>
        <v>1204.875</v>
      </c>
      <c r="D20" s="50">
        <v>0</v>
      </c>
      <c r="E20" s="50">
        <v>0</v>
      </c>
      <c r="F20" s="50">
        <f t="shared" si="2"/>
        <v>315</v>
      </c>
      <c r="G20" s="50">
        <v>0</v>
      </c>
      <c r="I20" s="49">
        <v>0.5</v>
      </c>
      <c r="J20" s="49">
        <v>31500</v>
      </c>
      <c r="K20" s="162"/>
    </row>
    <row r="21" spans="1:17" x14ac:dyDescent="0.25">
      <c r="B21" s="10"/>
      <c r="C21" s="10"/>
      <c r="D21" s="10"/>
      <c r="E21" s="10"/>
      <c r="F21" s="10"/>
      <c r="G21" s="10"/>
      <c r="I21" s="10"/>
    </row>
    <row r="22" spans="1:17" ht="21" customHeight="1" thickBot="1" x14ac:dyDescent="0.3">
      <c r="A22" s="40" t="s">
        <v>914</v>
      </c>
      <c r="B22" s="43">
        <f>SUM(B12:B21)</f>
        <v>821625</v>
      </c>
      <c r="C22" s="43">
        <f t="shared" ref="C22:G22" si="4">SUM(C12:C21)</f>
        <v>62854.312500000007</v>
      </c>
      <c r="D22" s="43">
        <f t="shared" si="4"/>
        <v>125685</v>
      </c>
      <c r="E22" s="43">
        <f t="shared" si="4"/>
        <v>277457.47499999998</v>
      </c>
      <c r="F22" s="43">
        <f t="shared" si="4"/>
        <v>16432.5</v>
      </c>
      <c r="G22" s="43">
        <f t="shared" si="4"/>
        <v>38.400000000000006</v>
      </c>
      <c r="H22" s="43">
        <f>SUM(B22:G22)</f>
        <v>1304092.6875</v>
      </c>
      <c r="I22" s="10"/>
    </row>
    <row r="23" spans="1:17" ht="21" customHeight="1" thickTop="1" x14ac:dyDescent="0.25">
      <c r="A23" s="1" t="s">
        <v>915</v>
      </c>
      <c r="B23" s="51">
        <f>_xlfn.XLOOKUP(B9,'Master Budget'!$G$4:$G$360,'Master Budget'!$N$4:$N$360,0)</f>
        <v>821625</v>
      </c>
      <c r="C23" s="51">
        <f>_xlfn.XLOOKUP(C9,'Master Budget'!$G$4:$G$360,'Master Budget'!$N$4:$N$360,0)</f>
        <v>62854.312500000007</v>
      </c>
      <c r="D23" s="51">
        <f>_xlfn.XLOOKUP(D9,'Master Budget'!$G$4:$G$360,'Master Budget'!$N$4:$N$360,0)</f>
        <v>125685</v>
      </c>
      <c r="E23" s="51">
        <f>_xlfn.XLOOKUP(E9,'Master Budget'!$G$4:$G$360,'Master Budget'!$N$4:$N$360,0)</f>
        <v>277457.47499999998</v>
      </c>
      <c r="F23" s="51">
        <f>_xlfn.XLOOKUP(F9,'Master Budget'!$G$4:$G$360,'Master Budget'!$N$4:$N$360,0)</f>
        <v>16432.5</v>
      </c>
      <c r="G23" s="51">
        <f>_xlfn.XLOOKUP(G9,'Master Budget'!$G$4:$G$360,'Master Budget'!$N$4:$N$360,0)</f>
        <v>38.400000000000006</v>
      </c>
      <c r="H23" s="35"/>
    </row>
    <row r="24" spans="1:17" ht="21" customHeight="1" x14ac:dyDescent="0.25">
      <c r="B24" s="52">
        <f>B22-B23</f>
        <v>0</v>
      </c>
      <c r="C24" s="52">
        <f>C22-C23</f>
        <v>0</v>
      </c>
      <c r="D24" s="52">
        <f>D22-D23</f>
        <v>0</v>
      </c>
      <c r="E24" s="52">
        <f>E22-E23</f>
        <v>0</v>
      </c>
      <c r="F24" s="52">
        <f>F22-F23</f>
        <v>0</v>
      </c>
      <c r="G24" s="35"/>
      <c r="H24" s="35"/>
    </row>
    <row r="25" spans="1:17" x14ac:dyDescent="0.25">
      <c r="B25" s="10"/>
      <c r="C25" s="10"/>
      <c r="D25" s="10"/>
      <c r="E25" s="10"/>
      <c r="F25" s="10"/>
      <c r="G25" s="10"/>
    </row>
    <row r="26" spans="1:17" x14ac:dyDescent="0.25">
      <c r="A26" s="40" t="s">
        <v>898</v>
      </c>
      <c r="B26" s="41" t="s">
        <v>424</v>
      </c>
      <c r="C26" s="41" t="s">
        <v>425</v>
      </c>
      <c r="D26" s="41" t="s">
        <v>426</v>
      </c>
      <c r="E26" s="41"/>
      <c r="F26" s="41" t="s">
        <v>427</v>
      </c>
      <c r="G26" s="41"/>
      <c r="I26" s="47" t="s">
        <v>899</v>
      </c>
      <c r="J26" s="47" t="s">
        <v>899</v>
      </c>
      <c r="P26" s="1" t="s">
        <v>424</v>
      </c>
      <c r="Q26" s="10">
        <f>_xlfn.XLOOKUP(P26,$B$26:$G$26,$B$34:$G$34,0)</f>
        <v>690000</v>
      </c>
    </row>
    <row r="27" spans="1:17" x14ac:dyDescent="0.25">
      <c r="A27" s="7" t="s">
        <v>916</v>
      </c>
      <c r="B27" s="5" t="s">
        <v>900</v>
      </c>
      <c r="C27" s="5" t="s">
        <v>901</v>
      </c>
      <c r="D27" s="5" t="s">
        <v>106</v>
      </c>
      <c r="E27" s="5" t="s">
        <v>902</v>
      </c>
      <c r="F27" s="5" t="s">
        <v>903</v>
      </c>
      <c r="G27" s="5"/>
      <c r="H27" s="5" t="s">
        <v>904</v>
      </c>
      <c r="I27" s="5" t="s">
        <v>905</v>
      </c>
      <c r="J27" s="6" t="s">
        <v>906</v>
      </c>
      <c r="P27" s="1" t="s">
        <v>425</v>
      </c>
      <c r="Q27" s="10">
        <f>_xlfn.XLOOKUP(P27,$B$26:$G$26,$B$34:$G$34,0)</f>
        <v>48195</v>
      </c>
    </row>
    <row r="28" spans="1:17" x14ac:dyDescent="0.25">
      <c r="A28" s="1" t="s">
        <v>908</v>
      </c>
      <c r="B28" s="50">
        <f>J28*I28</f>
        <v>0</v>
      </c>
      <c r="C28" s="50">
        <f>B28*$F$6</f>
        <v>0</v>
      </c>
      <c r="D28" s="50">
        <v>0</v>
      </c>
      <c r="E28" s="50">
        <v>0</v>
      </c>
      <c r="F28" s="50">
        <f>B28*$F$4</f>
        <v>0</v>
      </c>
      <c r="G28" s="50">
        <v>0</v>
      </c>
      <c r="I28" s="49">
        <v>1</v>
      </c>
      <c r="J28" s="53">
        <v>0</v>
      </c>
      <c r="K28" s="80" t="s">
        <v>1151</v>
      </c>
      <c r="L28" s="80"/>
      <c r="M28" s="80"/>
      <c r="N28" s="31"/>
      <c r="O28" s="31"/>
      <c r="P28" s="1" t="s">
        <v>426</v>
      </c>
      <c r="Q28" s="10">
        <f>_xlfn.XLOOKUP(P28,$B$26:$G$26,$B$34:$G$34,0)</f>
        <v>0</v>
      </c>
    </row>
    <row r="29" spans="1:17" x14ac:dyDescent="0.25">
      <c r="A29" s="1" t="s">
        <v>918</v>
      </c>
      <c r="B29" s="50">
        <f>J29*I29</f>
        <v>30000</v>
      </c>
      <c r="C29" s="50">
        <f>B29*$F$6</f>
        <v>2295</v>
      </c>
      <c r="D29" s="50">
        <v>0</v>
      </c>
      <c r="E29" s="50">
        <v>0</v>
      </c>
      <c r="F29" s="50">
        <f>B29*$F$4</f>
        <v>600</v>
      </c>
      <c r="G29" s="50">
        <v>0</v>
      </c>
      <c r="I29" s="49">
        <v>1</v>
      </c>
      <c r="J29" s="53">
        <v>30000</v>
      </c>
      <c r="P29" s="1" t="s">
        <v>427</v>
      </c>
      <c r="Q29" s="10">
        <f>_xlfn.XLOOKUP(P29,$B$26:$G$26,$B$34:$G$34,0)</f>
        <v>12600</v>
      </c>
    </row>
    <row r="30" spans="1:17" x14ac:dyDescent="0.25">
      <c r="A30" s="1" t="s">
        <v>918</v>
      </c>
      <c r="B30" s="50">
        <f>J30*I30</f>
        <v>30000</v>
      </c>
      <c r="C30" s="50">
        <f>B30*$F$6</f>
        <v>2295</v>
      </c>
      <c r="D30" s="50">
        <v>0</v>
      </c>
      <c r="E30" s="50">
        <v>0</v>
      </c>
      <c r="F30" s="50">
        <f>B30*$F$4</f>
        <v>600</v>
      </c>
      <c r="G30" s="50">
        <v>0</v>
      </c>
      <c r="I30" s="49">
        <v>1</v>
      </c>
      <c r="J30" s="53">
        <v>30000</v>
      </c>
    </row>
    <row r="31" spans="1:17" x14ac:dyDescent="0.25">
      <c r="A31" s="78" t="s">
        <v>918</v>
      </c>
      <c r="B31" s="79">
        <f>J31*I31</f>
        <v>60000</v>
      </c>
      <c r="C31" s="79"/>
      <c r="D31" s="79"/>
      <c r="E31" s="79"/>
      <c r="F31" s="79"/>
      <c r="G31" s="79"/>
      <c r="H31" s="78" t="s">
        <v>919</v>
      </c>
      <c r="I31" s="49">
        <v>2</v>
      </c>
      <c r="J31" s="53">
        <v>30000</v>
      </c>
    </row>
    <row r="32" spans="1:17" x14ac:dyDescent="0.25">
      <c r="A32" s="1" t="s">
        <v>920</v>
      </c>
      <c r="B32" s="50">
        <f>J32*I32</f>
        <v>570000</v>
      </c>
      <c r="C32" s="50">
        <f>B32*$F$6</f>
        <v>43605</v>
      </c>
      <c r="D32" s="50">
        <v>0</v>
      </c>
      <c r="E32" s="50">
        <v>0</v>
      </c>
      <c r="F32" s="50">
        <f>B32*$F$4</f>
        <v>11400</v>
      </c>
      <c r="G32" s="50">
        <v>0</v>
      </c>
      <c r="I32" s="49">
        <v>15</v>
      </c>
      <c r="J32" s="53">
        <v>38000</v>
      </c>
      <c r="K32" s="10"/>
    </row>
    <row r="33" spans="1:17" x14ac:dyDescent="0.25">
      <c r="B33" s="10"/>
      <c r="C33" s="10">
        <f>B33*$F$6</f>
        <v>0</v>
      </c>
      <c r="D33" s="10"/>
      <c r="E33" s="10"/>
      <c r="F33" s="10"/>
      <c r="G33" s="10"/>
      <c r="I33" s="10"/>
    </row>
    <row r="34" spans="1:17" ht="21" customHeight="1" thickBot="1" x14ac:dyDescent="0.3">
      <c r="A34" s="40" t="s">
        <v>921</v>
      </c>
      <c r="B34" s="43">
        <f>SUM(B28:B33)</f>
        <v>690000</v>
      </c>
      <c r="C34" s="43">
        <f>SUM(C28:C33)</f>
        <v>48195</v>
      </c>
      <c r="D34" s="43">
        <f>SUM(D28:D33)</f>
        <v>0</v>
      </c>
      <c r="E34" s="43">
        <f>SUM(E28:E33)</f>
        <v>0</v>
      </c>
      <c r="F34" s="43">
        <f>SUM(F28:F33)</f>
        <v>12600</v>
      </c>
      <c r="G34" s="43"/>
      <c r="H34" s="43">
        <f>SUM(B34:G34)</f>
        <v>750795</v>
      </c>
      <c r="I34" s="10"/>
    </row>
    <row r="35" spans="1:17" ht="15.75" thickTop="1" x14ac:dyDescent="0.25">
      <c r="A35" s="1" t="s">
        <v>915</v>
      </c>
      <c r="B35" s="51">
        <f>_xlfn.XLOOKUP(B26,'Master Budget'!$G$4:$G$360,'Master Budget'!$N$4:$N$360,0)</f>
        <v>724500</v>
      </c>
      <c r="C35" s="51">
        <f>_xlfn.XLOOKUP(C26,'Master Budget'!$G$4:$G$360,'Master Budget'!$N$4:$N$360,0)</f>
        <v>50604.75</v>
      </c>
      <c r="D35" s="51">
        <f>_xlfn.XLOOKUP(D26,'Master Budget'!$G$4:$G$360,'Master Budget'!$N$4:$N$360,0)</f>
        <v>0</v>
      </c>
      <c r="E35" s="51">
        <f>_xlfn.XLOOKUP(E26,'Master Budget'!$G$4:$G$360,'Master Budget'!$N$4:$N$360,0)</f>
        <v>0</v>
      </c>
      <c r="F35" s="51">
        <f>_xlfn.XLOOKUP(F26,'Master Budget'!$G$4:$G$360,'Master Budget'!$N$4:$N$360,0)</f>
        <v>13230</v>
      </c>
      <c r="G35" s="51"/>
    </row>
    <row r="36" spans="1:17" x14ac:dyDescent="0.25">
      <c r="B36" s="52">
        <f>B34-B35</f>
        <v>-34500</v>
      </c>
      <c r="C36" s="52">
        <f>C34-C35</f>
        <v>-2409.75</v>
      </c>
      <c r="D36" s="52">
        <f>D34-D35</f>
        <v>0</v>
      </c>
      <c r="E36" s="52">
        <f>E34-E35</f>
        <v>0</v>
      </c>
      <c r="F36" s="52">
        <f>F34-F35</f>
        <v>-630</v>
      </c>
      <c r="G36" s="35"/>
    </row>
    <row r="37" spans="1:17" x14ac:dyDescent="0.25">
      <c r="B37" s="10"/>
      <c r="C37" s="10"/>
      <c r="D37" s="10"/>
      <c r="E37" s="10"/>
      <c r="F37" s="10"/>
      <c r="G37" s="10"/>
    </row>
    <row r="38" spans="1:17" x14ac:dyDescent="0.25">
      <c r="A38" s="40" t="s">
        <v>898</v>
      </c>
      <c r="B38" s="41" t="s">
        <v>607</v>
      </c>
      <c r="C38" s="41" t="s">
        <v>608</v>
      </c>
      <c r="D38" s="41" t="s">
        <v>609</v>
      </c>
      <c r="E38" s="41" t="s">
        <v>610</v>
      </c>
      <c r="F38" s="41" t="s">
        <v>611</v>
      </c>
      <c r="G38" s="41" t="s">
        <v>613</v>
      </c>
      <c r="I38" s="47" t="s">
        <v>899</v>
      </c>
      <c r="J38" s="47" t="s">
        <v>899</v>
      </c>
      <c r="P38" s="1" t="s">
        <v>607</v>
      </c>
      <c r="Q38" s="10">
        <f t="shared" ref="Q38:Q43" si="5">_xlfn.XLOOKUP(P38,$B$38:$G$38,$B$50:$G$50,0)</f>
        <v>258650.34900000002</v>
      </c>
    </row>
    <row r="39" spans="1:17" x14ac:dyDescent="0.25">
      <c r="A39" s="7" t="s">
        <v>922</v>
      </c>
      <c r="B39" s="5" t="s">
        <v>900</v>
      </c>
      <c r="C39" s="5" t="s">
        <v>901</v>
      </c>
      <c r="D39" s="5" t="s">
        <v>106</v>
      </c>
      <c r="E39" s="5" t="s">
        <v>902</v>
      </c>
      <c r="F39" s="5" t="s">
        <v>903</v>
      </c>
      <c r="G39" s="5" t="s">
        <v>114</v>
      </c>
      <c r="H39" s="5" t="s">
        <v>904</v>
      </c>
      <c r="I39" s="5" t="s">
        <v>905</v>
      </c>
      <c r="J39" s="6" t="s">
        <v>906</v>
      </c>
      <c r="L39" s="1">
        <v>2.5000000000000001E-2</v>
      </c>
      <c r="M39" s="1">
        <v>2.5000000000000001E-2</v>
      </c>
      <c r="P39" s="1" t="s">
        <v>608</v>
      </c>
      <c r="Q39" s="10">
        <f t="shared" si="5"/>
        <v>19786.7516985</v>
      </c>
    </row>
    <row r="40" spans="1:17" x14ac:dyDescent="0.25">
      <c r="A40" s="1" t="s">
        <v>923</v>
      </c>
      <c r="B40" s="50">
        <f>J40*I40</f>
        <v>68040</v>
      </c>
      <c r="C40" s="50">
        <f t="shared" ref="C40:C49" si="6">B40*$F$6</f>
        <v>5205.0599999999995</v>
      </c>
      <c r="D40" s="50">
        <f>(B40*$F$5)</f>
        <v>13608</v>
      </c>
      <c r="E40" s="50" cm="1">
        <f t="array" ref="E40">SUM(($C$4:$C$5)+(B40*$B$6))*I40</f>
        <v>12861.9648</v>
      </c>
      <c r="F40" s="50">
        <f t="shared" ref="F40:F47" si="7">B40*$F$4</f>
        <v>1360.8</v>
      </c>
      <c r="G40" s="50">
        <f>$C$7/2</f>
        <v>19.200000000000003</v>
      </c>
      <c r="I40" s="49">
        <v>0.48</v>
      </c>
      <c r="J40" s="49">
        <v>141750</v>
      </c>
      <c r="P40" s="1" t="s">
        <v>609</v>
      </c>
      <c r="Q40" s="10">
        <f t="shared" si="5"/>
        <v>38885.520000000004</v>
      </c>
    </row>
    <row r="41" spans="1:17" x14ac:dyDescent="0.25">
      <c r="A41" s="1" t="s">
        <v>924</v>
      </c>
      <c r="B41" s="50">
        <f>(52*25*J41)*I41</f>
        <v>18832.32</v>
      </c>
      <c r="C41" s="50">
        <f t="shared" si="6"/>
        <v>1440.67248</v>
      </c>
      <c r="D41" s="50"/>
      <c r="E41" s="50"/>
      <c r="F41" s="50">
        <f t="shared" si="7"/>
        <v>376.64640000000003</v>
      </c>
      <c r="G41" s="50"/>
      <c r="H41" s="1" t="s">
        <v>925</v>
      </c>
      <c r="I41" s="49">
        <v>0.48</v>
      </c>
      <c r="J41" s="49">
        <v>30.18</v>
      </c>
      <c r="L41" s="100">
        <f>J41*L39</f>
        <v>0.75450000000000006</v>
      </c>
      <c r="M41" s="54">
        <f>(J41+L41)*M39</f>
        <v>0.77336250000000006</v>
      </c>
      <c r="P41" s="1" t="s">
        <v>610</v>
      </c>
      <c r="Q41" s="10">
        <f t="shared" si="5"/>
        <v>53023.255799999999</v>
      </c>
    </row>
    <row r="42" spans="1:17" x14ac:dyDescent="0.25">
      <c r="A42" s="1" t="s">
        <v>926</v>
      </c>
      <c r="B42" s="50">
        <f>(52*12*J42)*I42</f>
        <v>8042.1120000000001</v>
      </c>
      <c r="C42" s="50">
        <f t="shared" si="6"/>
        <v>615.22156800000005</v>
      </c>
      <c r="D42" s="50"/>
      <c r="E42" s="50"/>
      <c r="F42" s="50">
        <f t="shared" si="7"/>
        <v>160.84224</v>
      </c>
      <c r="G42" s="50"/>
      <c r="H42" s="1" t="s">
        <v>927</v>
      </c>
      <c r="I42" s="49">
        <v>0.48</v>
      </c>
      <c r="J42" s="49">
        <v>26.85</v>
      </c>
      <c r="L42" s="54">
        <f>J42*L39</f>
        <v>0.67125000000000012</v>
      </c>
      <c r="M42" s="54">
        <f>(L42+J42)*M39</f>
        <v>0.68803125000000009</v>
      </c>
      <c r="P42" s="1" t="s">
        <v>611</v>
      </c>
      <c r="Q42" s="10">
        <f t="shared" si="5"/>
        <v>4985.4406399999998</v>
      </c>
    </row>
    <row r="43" spans="1:17" x14ac:dyDescent="0.25">
      <c r="A43" s="1" t="str">
        <f>"Staff (FT-"&amp;I43&amp;")"</f>
        <v>Staff (FT-1.5)</v>
      </c>
      <c r="B43" s="50">
        <f>(2080*J43)*I43</f>
        <v>89637.6</v>
      </c>
      <c r="C43" s="50">
        <f t="shared" si="6"/>
        <v>6857.2764000000006</v>
      </c>
      <c r="D43" s="50">
        <f>(B43*$F$5)</f>
        <v>17927.52</v>
      </c>
      <c r="E43" s="50" cm="1">
        <f t="array" ref="E43">SUM(($C$4:$C$5)+(B43*$B$6))</f>
        <v>27011.735999999997</v>
      </c>
      <c r="F43" s="50">
        <f t="shared" si="7"/>
        <v>1792.7520000000002</v>
      </c>
      <c r="G43" s="50">
        <f>$C$7</f>
        <v>38.400000000000006</v>
      </c>
      <c r="I43" s="49">
        <f>3/2</f>
        <v>1.5</v>
      </c>
      <c r="J43" s="49">
        <v>28.73</v>
      </c>
      <c r="L43" s="54">
        <f>J43*L39*2</f>
        <v>1.4365000000000001</v>
      </c>
      <c r="M43" s="54">
        <f>(L43+J43)*M39*2</f>
        <v>1.5083250000000001</v>
      </c>
      <c r="P43" s="1" t="s">
        <v>613</v>
      </c>
      <c r="Q43" s="10">
        <f t="shared" si="5"/>
        <v>115.20000000000002</v>
      </c>
    </row>
    <row r="44" spans="1:17" x14ac:dyDescent="0.25">
      <c r="A44" s="78" t="str">
        <f>"Staff (PT-"&amp;I44&amp;")"</f>
        <v>Staff (PT-1)</v>
      </c>
      <c r="B44" s="79">
        <f>(1000*J44)*I44</f>
        <v>20470</v>
      </c>
      <c r="C44" s="79">
        <f t="shared" si="6"/>
        <v>1565.9549999999999</v>
      </c>
      <c r="D44" s="79"/>
      <c r="E44" s="79">
        <v>0</v>
      </c>
      <c r="F44" s="79">
        <f t="shared" si="7"/>
        <v>409.40000000000003</v>
      </c>
      <c r="G44" s="79"/>
      <c r="H44" s="78" t="s">
        <v>928</v>
      </c>
      <c r="I44" s="49">
        <v>1</v>
      </c>
      <c r="J44" s="49">
        <v>20.47</v>
      </c>
      <c r="L44" s="54">
        <f>J44*L39*3</f>
        <v>1.53525</v>
      </c>
      <c r="M44" s="54">
        <f>(L44+J44)*M39*3</f>
        <v>1.6503937500000001</v>
      </c>
    </row>
    <row r="45" spans="1:17" x14ac:dyDescent="0.25">
      <c r="A45" s="1" t="s">
        <v>911</v>
      </c>
      <c r="B45" s="50">
        <f>J45*I45</f>
        <v>19500</v>
      </c>
      <c r="C45" s="50">
        <f t="shared" si="6"/>
        <v>1491.75</v>
      </c>
      <c r="D45" s="50">
        <f>(B45*$F$5)</f>
        <v>3900</v>
      </c>
      <c r="E45" s="50" cm="1">
        <f t="array" ref="E45">SUM(($C$4:$C$5)+(B45*$B$6))*I45</f>
        <v>6577.59</v>
      </c>
      <c r="F45" s="50">
        <f t="shared" si="7"/>
        <v>390</v>
      </c>
      <c r="G45" s="50">
        <f>$C$7*I45</f>
        <v>9.6000000000000014</v>
      </c>
      <c r="I45" s="49">
        <v>0.25</v>
      </c>
      <c r="J45" s="49">
        <v>78000</v>
      </c>
    </row>
    <row r="46" spans="1:17" x14ac:dyDescent="0.25">
      <c r="A46" s="78" t="s">
        <v>912</v>
      </c>
      <c r="B46" s="79">
        <f>J46*I46</f>
        <v>17250</v>
      </c>
      <c r="C46" s="79">
        <f t="shared" si="6"/>
        <v>1319.625</v>
      </c>
      <c r="D46" s="79">
        <f>(B46*$F$5)</f>
        <v>3450</v>
      </c>
      <c r="E46" s="79" cm="1">
        <f t="array" ref="E46">SUM(($C$4:$C$5)+(B46*$B$6))*I46</f>
        <v>6571.9650000000001</v>
      </c>
      <c r="F46" s="79">
        <f t="shared" si="7"/>
        <v>345</v>
      </c>
      <c r="G46" s="79">
        <f>$C$7*I46</f>
        <v>9.6000000000000014</v>
      </c>
      <c r="H46" s="78" t="s">
        <v>929</v>
      </c>
      <c r="I46" s="49">
        <v>0.25</v>
      </c>
      <c r="J46" s="49">
        <v>69000</v>
      </c>
    </row>
    <row r="47" spans="1:17" x14ac:dyDescent="0.25">
      <c r="A47" s="1" t="s">
        <v>913</v>
      </c>
      <c r="B47" s="50">
        <f>J47*I47</f>
        <v>7500</v>
      </c>
      <c r="C47" s="50">
        <f t="shared" si="6"/>
        <v>573.75</v>
      </c>
      <c r="D47" s="50">
        <v>0</v>
      </c>
      <c r="E47" s="50">
        <v>0</v>
      </c>
      <c r="F47" s="50">
        <f t="shared" si="7"/>
        <v>150</v>
      </c>
      <c r="G47" s="50">
        <f>$C$7</f>
        <v>38.400000000000006</v>
      </c>
      <c r="I47" s="49">
        <v>0.25</v>
      </c>
      <c r="J47" s="49">
        <v>30000</v>
      </c>
    </row>
    <row r="48" spans="1:17" x14ac:dyDescent="0.25">
      <c r="A48" s="1" t="s">
        <v>930</v>
      </c>
      <c r="B48" s="50">
        <f>(2080*(J48+J49))*I48</f>
        <v>9378.3170000000027</v>
      </c>
      <c r="C48" s="50">
        <f t="shared" si="6"/>
        <v>717.44125050000025</v>
      </c>
      <c r="D48" s="50"/>
      <c r="E48" s="50"/>
      <c r="F48" s="50"/>
      <c r="G48" s="50"/>
      <c r="I48" s="49">
        <v>0.5</v>
      </c>
      <c r="J48" s="55">
        <f>SUM(L41:L44)</f>
        <v>4.3975000000000009</v>
      </c>
    </row>
    <row r="49" spans="1:17" x14ac:dyDescent="0.25">
      <c r="B49" s="10"/>
      <c r="C49" s="10">
        <f t="shared" si="6"/>
        <v>0</v>
      </c>
      <c r="D49" s="10"/>
      <c r="E49" s="10"/>
      <c r="F49" s="10"/>
      <c r="G49" s="10"/>
      <c r="I49" s="49"/>
      <c r="J49" s="55">
        <f>SUM(M41:M44)</f>
        <v>4.6201125000000003</v>
      </c>
    </row>
    <row r="50" spans="1:17" ht="21" customHeight="1" thickBot="1" x14ac:dyDescent="0.3">
      <c r="A50" s="40" t="s">
        <v>931</v>
      </c>
      <c r="B50" s="43">
        <f t="shared" ref="B50:G50" si="8">SUM(B40:B49)</f>
        <v>258650.34900000002</v>
      </c>
      <c r="C50" s="43">
        <f t="shared" si="8"/>
        <v>19786.7516985</v>
      </c>
      <c r="D50" s="43">
        <f t="shared" si="8"/>
        <v>38885.520000000004</v>
      </c>
      <c r="E50" s="43">
        <f t="shared" si="8"/>
        <v>53023.255799999999</v>
      </c>
      <c r="F50" s="43">
        <f t="shared" si="8"/>
        <v>4985.4406399999998</v>
      </c>
      <c r="G50" s="43">
        <f t="shared" si="8"/>
        <v>115.20000000000002</v>
      </c>
      <c r="H50" s="43">
        <f>SUM(B50:G50)</f>
        <v>375446.5171385</v>
      </c>
    </row>
    <row r="51" spans="1:17" ht="15.75" thickTop="1" x14ac:dyDescent="0.25">
      <c r="A51" s="1" t="s">
        <v>915</v>
      </c>
      <c r="B51" s="51">
        <f>_xlfn.XLOOKUP(B38,'Master Budget'!$G$4:$G$360,'Master Budget'!$N$4:$N$360,0)</f>
        <v>259590.18340500002</v>
      </c>
      <c r="C51" s="51">
        <f>_xlfn.XLOOKUP(C38,'Master Budget'!$G$4:$G$360,'Master Budget'!$N$4:$N$360,0)</f>
        <v>19858.649030482498</v>
      </c>
      <c r="D51" s="51">
        <f>_xlfn.XLOOKUP(D38,'Master Budget'!$G$4:$G$360,'Master Budget'!$N$4:$N$360,0)</f>
        <v>39004.434000000008</v>
      </c>
      <c r="E51" s="51">
        <f>_xlfn.XLOOKUP(E38,'Master Budget'!$G$4:$G$360,'Master Budget'!$N$4:$N$360,0)</f>
        <v>53007.742125000004</v>
      </c>
      <c r="F51" s="51">
        <f>_xlfn.XLOOKUP(F38,'Master Budget'!$G$4:$G$360,'Master Budget'!$N$4:$N$360,0)</f>
        <v>5007.4078656000002</v>
      </c>
      <c r="G51" s="51">
        <f>_xlfn.XLOOKUP(G38,'Master Budget'!$G$4:$G$360,'Master Budget'!$N$4:$N$360,0)</f>
        <v>115.20000000000002</v>
      </c>
    </row>
    <row r="52" spans="1:17" x14ac:dyDescent="0.25">
      <c r="B52" s="52">
        <f t="shared" ref="B52:G52" si="9">B50-B51</f>
        <v>-939.83440500000142</v>
      </c>
      <c r="C52" s="52">
        <f t="shared" si="9"/>
        <v>-71.897331982498144</v>
      </c>
      <c r="D52" s="52">
        <f t="shared" si="9"/>
        <v>-118.91400000000431</v>
      </c>
      <c r="E52" s="52">
        <f t="shared" si="9"/>
        <v>15.513674999994691</v>
      </c>
      <c r="F52" s="52">
        <f t="shared" si="9"/>
        <v>-21.967225600000347</v>
      </c>
      <c r="G52" s="52">
        <f t="shared" si="9"/>
        <v>0</v>
      </c>
    </row>
    <row r="53" spans="1:17" x14ac:dyDescent="0.25">
      <c r="B53" s="10"/>
      <c r="C53" s="10"/>
      <c r="D53" s="10"/>
      <c r="E53" s="10"/>
      <c r="F53" s="10"/>
      <c r="G53" s="10"/>
    </row>
    <row r="54" spans="1:17" x14ac:dyDescent="0.25">
      <c r="A54" s="40" t="s">
        <v>898</v>
      </c>
      <c r="B54" s="41" t="s">
        <v>733</v>
      </c>
      <c r="C54" s="41" t="s">
        <v>735</v>
      </c>
      <c r="D54" s="41" t="s">
        <v>736</v>
      </c>
      <c r="E54" s="41" t="s">
        <v>737</v>
      </c>
      <c r="F54" s="41" t="s">
        <v>738</v>
      </c>
      <c r="G54" s="41" t="s">
        <v>740</v>
      </c>
      <c r="I54" s="47" t="s">
        <v>899</v>
      </c>
      <c r="J54" s="47" t="s">
        <v>899</v>
      </c>
      <c r="P54" s="1" t="s">
        <v>733</v>
      </c>
      <c r="Q54" s="10">
        <f t="shared" ref="Q54:Q59" si="10">_xlfn.XLOOKUP(P54,$B$54:$G$54,$B$66:$G$66,0)</f>
        <v>258650.34900000002</v>
      </c>
    </row>
    <row r="55" spans="1:17" x14ac:dyDescent="0.25">
      <c r="A55" s="7" t="s">
        <v>932</v>
      </c>
      <c r="B55" s="5" t="s">
        <v>900</v>
      </c>
      <c r="C55" s="5" t="s">
        <v>901</v>
      </c>
      <c r="D55" s="5" t="s">
        <v>106</v>
      </c>
      <c r="E55" s="5" t="s">
        <v>902</v>
      </c>
      <c r="F55" s="5" t="s">
        <v>903</v>
      </c>
      <c r="G55" s="5" t="s">
        <v>114</v>
      </c>
      <c r="H55" s="5" t="s">
        <v>904</v>
      </c>
      <c r="I55" s="5" t="s">
        <v>905</v>
      </c>
      <c r="J55" s="6" t="s">
        <v>906</v>
      </c>
      <c r="L55" s="1">
        <v>2.5000000000000001E-2</v>
      </c>
      <c r="M55" s="1">
        <v>2.5000000000000001E-2</v>
      </c>
      <c r="P55" s="1" t="s">
        <v>735</v>
      </c>
      <c r="Q55" s="10">
        <f t="shared" si="10"/>
        <v>19786.7516985</v>
      </c>
    </row>
    <row r="56" spans="1:17" x14ac:dyDescent="0.25">
      <c r="A56" s="1" t="s">
        <v>923</v>
      </c>
      <c r="B56" s="50">
        <f>J56*I56</f>
        <v>68040</v>
      </c>
      <c r="C56" s="50">
        <f t="shared" ref="C56:C65" si="11">B56*$F$6</f>
        <v>5205.0599999999995</v>
      </c>
      <c r="D56" s="50">
        <f>(B56*$F$5)</f>
        <v>13608</v>
      </c>
      <c r="E56" s="50" cm="1">
        <f t="array" ref="E56">SUM(($C$4:$C$5)+(B56*$B$6))*I56</f>
        <v>12861.9648</v>
      </c>
      <c r="F56" s="50">
        <f t="shared" ref="F56:F63" si="12">B56*$F$4</f>
        <v>1360.8</v>
      </c>
      <c r="G56" s="50">
        <f>$C$7/2</f>
        <v>19.200000000000003</v>
      </c>
      <c r="I56" s="49">
        <v>0.48</v>
      </c>
      <c r="J56" s="49">
        <v>141750</v>
      </c>
      <c r="P56" s="1" t="s">
        <v>736</v>
      </c>
      <c r="Q56" s="10">
        <f t="shared" si="10"/>
        <v>38885.520000000004</v>
      </c>
    </row>
    <row r="57" spans="1:17" x14ac:dyDescent="0.25">
      <c r="A57" s="1" t="s">
        <v>924</v>
      </c>
      <c r="B57" s="50">
        <f>(52*25*J57)*I57</f>
        <v>18832.32</v>
      </c>
      <c r="C57" s="50">
        <f t="shared" si="11"/>
        <v>1440.67248</v>
      </c>
      <c r="D57" s="50"/>
      <c r="E57" s="50"/>
      <c r="F57" s="50">
        <f t="shared" si="12"/>
        <v>376.64640000000003</v>
      </c>
      <c r="G57" s="50"/>
      <c r="H57" s="1" t="s">
        <v>925</v>
      </c>
      <c r="I57" s="49">
        <v>0.48</v>
      </c>
      <c r="J57" s="49">
        <v>30.18</v>
      </c>
      <c r="L57" s="100">
        <f>J57*L55</f>
        <v>0.75450000000000006</v>
      </c>
      <c r="M57" s="54">
        <f>(J57+L57)*M55</f>
        <v>0.77336250000000006</v>
      </c>
      <c r="P57" s="1" t="s">
        <v>737</v>
      </c>
      <c r="Q57" s="10">
        <f t="shared" si="10"/>
        <v>53023.255799999999</v>
      </c>
    </row>
    <row r="58" spans="1:17" x14ac:dyDescent="0.25">
      <c r="A58" s="1" t="s">
        <v>926</v>
      </c>
      <c r="B58" s="50">
        <f>(52*12*J58)*I58</f>
        <v>8042.1120000000001</v>
      </c>
      <c r="C58" s="50">
        <f t="shared" si="11"/>
        <v>615.22156800000005</v>
      </c>
      <c r="D58" s="50"/>
      <c r="E58" s="50"/>
      <c r="F58" s="50">
        <f t="shared" si="12"/>
        <v>160.84224</v>
      </c>
      <c r="G58" s="50"/>
      <c r="H58" s="1" t="s">
        <v>927</v>
      </c>
      <c r="I58" s="49">
        <v>0.48</v>
      </c>
      <c r="J58" s="49">
        <v>26.85</v>
      </c>
      <c r="L58" s="54">
        <f>J58*L55</f>
        <v>0.67125000000000012</v>
      </c>
      <c r="M58" s="54">
        <f>(L58+J58)*M55</f>
        <v>0.68803125000000009</v>
      </c>
      <c r="P58" s="1" t="s">
        <v>738</v>
      </c>
      <c r="Q58" s="10">
        <f t="shared" si="10"/>
        <v>4985.4406399999998</v>
      </c>
    </row>
    <row r="59" spans="1:17" x14ac:dyDescent="0.25">
      <c r="A59" s="1" t="str">
        <f>"Staff (FT-"&amp;I59&amp;")"</f>
        <v>Staff (FT-1.5)</v>
      </c>
      <c r="B59" s="50">
        <f>(2080*J59)*I59</f>
        <v>89637.6</v>
      </c>
      <c r="C59" s="50">
        <f t="shared" si="11"/>
        <v>6857.2764000000006</v>
      </c>
      <c r="D59" s="50">
        <f>(B59*$F$5)</f>
        <v>17927.52</v>
      </c>
      <c r="E59" s="50" cm="1">
        <f t="array" ref="E59">SUM(($C$4:$C$5)+(B59*$B$6))</f>
        <v>27011.735999999997</v>
      </c>
      <c r="F59" s="50">
        <f t="shared" si="12"/>
        <v>1792.7520000000002</v>
      </c>
      <c r="G59" s="50">
        <f>$C$7</f>
        <v>38.400000000000006</v>
      </c>
      <c r="I59" s="49">
        <v>1.5</v>
      </c>
      <c r="J59" s="49">
        <v>28.73</v>
      </c>
      <c r="L59" s="54">
        <f>J59*L55*2</f>
        <v>1.4365000000000001</v>
      </c>
      <c r="M59" s="54">
        <f>(L59+J59)*M55*2</f>
        <v>1.5083250000000001</v>
      </c>
      <c r="P59" s="1" t="s">
        <v>740</v>
      </c>
      <c r="Q59" s="10">
        <f t="shared" si="10"/>
        <v>76.800000000000011</v>
      </c>
    </row>
    <row r="60" spans="1:17" x14ac:dyDescent="0.25">
      <c r="A60" s="78" t="str">
        <f>"Staff (PT-"&amp;I60&amp;")"</f>
        <v>Staff (PT-1)</v>
      </c>
      <c r="B60" s="79">
        <f>(1000*J60)*I60</f>
        <v>20470</v>
      </c>
      <c r="C60" s="79">
        <f t="shared" si="11"/>
        <v>1565.9549999999999</v>
      </c>
      <c r="D60" s="79"/>
      <c r="E60" s="79"/>
      <c r="F60" s="79">
        <f t="shared" si="12"/>
        <v>409.40000000000003</v>
      </c>
      <c r="G60" s="79"/>
      <c r="H60" s="78" t="s">
        <v>933</v>
      </c>
      <c r="I60" s="49">
        <v>1</v>
      </c>
      <c r="J60" s="49">
        <v>20.47</v>
      </c>
      <c r="L60" s="54">
        <f>J60*L55*3</f>
        <v>1.53525</v>
      </c>
      <c r="M60" s="54">
        <f>(L60+J60)*M55*3</f>
        <v>1.6503937500000001</v>
      </c>
    </row>
    <row r="61" spans="1:17" x14ac:dyDescent="0.25">
      <c r="A61" s="1" t="s">
        <v>911</v>
      </c>
      <c r="B61" s="50">
        <f>J61*I61</f>
        <v>19500</v>
      </c>
      <c r="C61" s="50">
        <f t="shared" si="11"/>
        <v>1491.75</v>
      </c>
      <c r="D61" s="50">
        <f>(B61*$F$5)</f>
        <v>3900</v>
      </c>
      <c r="E61" s="50" cm="1">
        <f t="array" ref="E61">SUM(($C$4:$C$5)+(B61*$B$6))*I61</f>
        <v>6577.59</v>
      </c>
      <c r="F61" s="50">
        <f t="shared" si="12"/>
        <v>390</v>
      </c>
      <c r="G61" s="50">
        <f>$C$7*I61</f>
        <v>9.6000000000000014</v>
      </c>
      <c r="I61" s="49">
        <v>0.25</v>
      </c>
      <c r="J61" s="49">
        <v>78000</v>
      </c>
    </row>
    <row r="62" spans="1:17" x14ac:dyDescent="0.25">
      <c r="A62" s="78" t="s">
        <v>912</v>
      </c>
      <c r="B62" s="79">
        <f>J62*I62</f>
        <v>17250</v>
      </c>
      <c r="C62" s="79">
        <f t="shared" si="11"/>
        <v>1319.625</v>
      </c>
      <c r="D62" s="79">
        <f>(B62*$F$5)</f>
        <v>3450</v>
      </c>
      <c r="E62" s="79" cm="1">
        <f t="array" ref="E62">SUM(($C$4:$C$5)+(B62*$B$6))*I62</f>
        <v>6571.9650000000001</v>
      </c>
      <c r="F62" s="79">
        <f t="shared" si="12"/>
        <v>345</v>
      </c>
      <c r="G62" s="79">
        <f>$C$7*I62</f>
        <v>9.6000000000000014</v>
      </c>
      <c r="H62" s="78"/>
      <c r="I62" s="49">
        <v>0.25</v>
      </c>
      <c r="J62" s="49">
        <v>69000</v>
      </c>
    </row>
    <row r="63" spans="1:17" x14ac:dyDescent="0.25">
      <c r="A63" s="1" t="s">
        <v>913</v>
      </c>
      <c r="B63" s="50">
        <f>J63*I63</f>
        <v>7500</v>
      </c>
      <c r="C63" s="50">
        <f t="shared" si="11"/>
        <v>573.75</v>
      </c>
      <c r="D63" s="50"/>
      <c r="E63" s="50"/>
      <c r="F63" s="50">
        <f t="shared" si="12"/>
        <v>150</v>
      </c>
      <c r="G63" s="50"/>
      <c r="I63" s="49">
        <v>0.25</v>
      </c>
      <c r="J63" s="49">
        <v>30000</v>
      </c>
    </row>
    <row r="64" spans="1:17" x14ac:dyDescent="0.25">
      <c r="A64" s="1" t="s">
        <v>930</v>
      </c>
      <c r="B64" s="50">
        <f>(2080*(J48+J49))*I48</f>
        <v>9378.3170000000027</v>
      </c>
      <c r="C64" s="50">
        <f t="shared" si="11"/>
        <v>717.44125050000025</v>
      </c>
      <c r="D64" s="50"/>
      <c r="E64" s="50"/>
      <c r="F64" s="50"/>
      <c r="G64" s="50"/>
      <c r="I64" s="49">
        <v>0.5</v>
      </c>
      <c r="J64" s="55">
        <f>SUM(L57:L60)</f>
        <v>4.3975000000000009</v>
      </c>
    </row>
    <row r="65" spans="1:17" x14ac:dyDescent="0.25">
      <c r="B65" s="50"/>
      <c r="C65" s="50">
        <f t="shared" si="11"/>
        <v>0</v>
      </c>
      <c r="D65" s="50"/>
      <c r="E65" s="50"/>
      <c r="F65" s="50"/>
      <c r="G65" s="50"/>
      <c r="I65" s="49"/>
      <c r="J65" s="55">
        <f>SUM(M57:M60)</f>
        <v>4.6201125000000003</v>
      </c>
    </row>
    <row r="66" spans="1:17" ht="21" customHeight="1" thickBot="1" x14ac:dyDescent="0.3">
      <c r="A66" s="40" t="s">
        <v>934</v>
      </c>
      <c r="B66" s="43">
        <f t="shared" ref="B66:G66" si="13">SUM(B56:B65)</f>
        <v>258650.34900000002</v>
      </c>
      <c r="C66" s="43">
        <f t="shared" si="13"/>
        <v>19786.7516985</v>
      </c>
      <c r="D66" s="43">
        <f t="shared" si="13"/>
        <v>38885.520000000004</v>
      </c>
      <c r="E66" s="43">
        <f t="shared" si="13"/>
        <v>53023.255799999999</v>
      </c>
      <c r="F66" s="43">
        <f t="shared" si="13"/>
        <v>4985.4406399999998</v>
      </c>
      <c r="G66" s="43">
        <f t="shared" si="13"/>
        <v>76.800000000000011</v>
      </c>
      <c r="H66" s="43">
        <f>SUM(B66:G66)</f>
        <v>375408.11713849998</v>
      </c>
      <c r="J66" s="55"/>
    </row>
    <row r="67" spans="1:17" ht="15.75" thickTop="1" x14ac:dyDescent="0.25">
      <c r="A67" s="1" t="s">
        <v>915</v>
      </c>
      <c r="B67" s="51">
        <f>_xlfn.XLOOKUP(B54,'Master Budget'!$G$4:$G$360,'Master Budget'!$N$4:$N$360,0)</f>
        <v>259590.18340500002</v>
      </c>
      <c r="C67" s="51">
        <f>_xlfn.XLOOKUP(C54,'Master Budget'!$G$4:$G$360,'Master Budget'!$N$4:$N$360,0)</f>
        <v>19858.649030482498</v>
      </c>
      <c r="D67" s="51">
        <f>_xlfn.XLOOKUP(D54,'Master Budget'!$G$4:$G$360,'Master Budget'!$N$4:$N$360,0)</f>
        <v>39004.434000000008</v>
      </c>
      <c r="E67" s="51">
        <f>_xlfn.XLOOKUP(E54,'Master Budget'!$G$4:$G$360,'Master Budget'!$N$4:$N$360,0)</f>
        <v>53007.742125000004</v>
      </c>
      <c r="F67" s="51">
        <f>_xlfn.XLOOKUP(F54,'Master Budget'!$G$4:$G$360,'Master Budget'!$N$4:$N$360,0)</f>
        <v>5007.4078656000002</v>
      </c>
      <c r="G67" s="51">
        <f>_xlfn.XLOOKUP(G54,'Master Budget'!$G$4:$G$360,'Master Budget'!$N$4:$N$360,0)</f>
        <v>76.800000000000011</v>
      </c>
    </row>
    <row r="68" spans="1:17" x14ac:dyDescent="0.25">
      <c r="B68" s="52">
        <f t="shared" ref="B68:G68" si="14">B66-B67</f>
        <v>-939.83440500000142</v>
      </c>
      <c r="C68" s="52">
        <f t="shared" si="14"/>
        <v>-71.897331982498144</v>
      </c>
      <c r="D68" s="52">
        <f t="shared" si="14"/>
        <v>-118.91400000000431</v>
      </c>
      <c r="E68" s="52">
        <f t="shared" si="14"/>
        <v>15.513674999994691</v>
      </c>
      <c r="F68" s="52">
        <f t="shared" si="14"/>
        <v>-21.967225600000347</v>
      </c>
      <c r="G68" s="52">
        <f t="shared" si="14"/>
        <v>0</v>
      </c>
    </row>
    <row r="69" spans="1:17" x14ac:dyDescent="0.25">
      <c r="B69" s="10"/>
      <c r="C69" s="10"/>
      <c r="D69" s="10"/>
      <c r="E69" s="10"/>
      <c r="F69" s="10"/>
      <c r="G69" s="10"/>
    </row>
    <row r="70" spans="1:17" x14ac:dyDescent="0.25">
      <c r="A70" s="40" t="s">
        <v>898</v>
      </c>
      <c r="B70" s="41" t="s">
        <v>862</v>
      </c>
      <c r="C70" s="41" t="s">
        <v>863</v>
      </c>
      <c r="D70" s="41" t="s">
        <v>864</v>
      </c>
      <c r="E70" s="41" t="s">
        <v>865</v>
      </c>
      <c r="F70" s="41" t="s">
        <v>866</v>
      </c>
      <c r="G70" s="41" t="s">
        <v>868</v>
      </c>
      <c r="I70" s="47" t="s">
        <v>899</v>
      </c>
      <c r="J70" s="47" t="s">
        <v>899</v>
      </c>
      <c r="P70" s="1" t="s">
        <v>733</v>
      </c>
      <c r="Q70" s="10">
        <f t="shared" ref="Q70:Q75" si="15">_xlfn.XLOOKUP(P70,$B$54:$G$54,$B$66:$G$66,0)</f>
        <v>258650.34900000002</v>
      </c>
    </row>
    <row r="71" spans="1:17" x14ac:dyDescent="0.25">
      <c r="A71" s="7" t="s">
        <v>935</v>
      </c>
      <c r="B71" s="5" t="s">
        <v>900</v>
      </c>
      <c r="C71" s="5" t="s">
        <v>901</v>
      </c>
      <c r="D71" s="5" t="s">
        <v>106</v>
      </c>
      <c r="E71" s="5" t="s">
        <v>902</v>
      </c>
      <c r="F71" s="5" t="s">
        <v>903</v>
      </c>
      <c r="G71" s="5" t="s">
        <v>114</v>
      </c>
      <c r="H71" s="5" t="s">
        <v>904</v>
      </c>
      <c r="I71" s="5" t="s">
        <v>905</v>
      </c>
      <c r="J71" s="6" t="s">
        <v>906</v>
      </c>
      <c r="L71" s="1">
        <v>2.5000000000000001E-2</v>
      </c>
      <c r="M71" s="1">
        <v>2.5000000000000001E-2</v>
      </c>
      <c r="P71" s="1" t="s">
        <v>735</v>
      </c>
      <c r="Q71" s="10">
        <f t="shared" si="15"/>
        <v>19786.7516985</v>
      </c>
    </row>
    <row r="72" spans="1:17" x14ac:dyDescent="0.25">
      <c r="A72" s="1" t="s">
        <v>923</v>
      </c>
      <c r="B72" s="50">
        <f>J72*I72</f>
        <v>5670</v>
      </c>
      <c r="C72" s="50">
        <f t="shared" ref="C72:C81" si="16">B72*$F$6</f>
        <v>433.755</v>
      </c>
      <c r="D72" s="50">
        <f>(B72*$F$5)</f>
        <v>1134</v>
      </c>
      <c r="E72" s="50" cm="1">
        <f t="array" ref="E72">SUM(($C$4:$C$5)+(B72*$B$6))*I72</f>
        <v>1046.8824</v>
      </c>
      <c r="F72" s="50">
        <f t="shared" ref="F72:F74" si="17">B72*$F$4</f>
        <v>113.4</v>
      </c>
      <c r="G72" s="50">
        <f>$C$7/2</f>
        <v>19.200000000000003</v>
      </c>
      <c r="I72" s="49">
        <v>0.04</v>
      </c>
      <c r="J72" s="49">
        <v>141750</v>
      </c>
      <c r="P72" s="1" t="s">
        <v>736</v>
      </c>
      <c r="Q72" s="10">
        <f t="shared" si="15"/>
        <v>38885.520000000004</v>
      </c>
    </row>
    <row r="73" spans="1:17" x14ac:dyDescent="0.25">
      <c r="A73" s="1" t="s">
        <v>924</v>
      </c>
      <c r="B73" s="50">
        <f>(52*25*J73)*I73</f>
        <v>1569.3600000000001</v>
      </c>
      <c r="C73" s="50">
        <f t="shared" si="16"/>
        <v>120.05604000000001</v>
      </c>
      <c r="D73" s="50"/>
      <c r="E73" s="50"/>
      <c r="F73" s="50">
        <f t="shared" si="17"/>
        <v>31.387200000000004</v>
      </c>
      <c r="G73" s="50"/>
      <c r="H73" s="1" t="s">
        <v>925</v>
      </c>
      <c r="I73" s="49">
        <v>0.04</v>
      </c>
      <c r="J73" s="49">
        <v>30.18</v>
      </c>
      <c r="L73" s="54">
        <f>J73*L71</f>
        <v>0.75450000000000006</v>
      </c>
      <c r="M73" s="54">
        <f>(J73+L73)*M71</f>
        <v>0.77336250000000006</v>
      </c>
      <c r="P73" s="1" t="s">
        <v>737</v>
      </c>
      <c r="Q73" s="10">
        <f t="shared" si="15"/>
        <v>53023.255799999999</v>
      </c>
    </row>
    <row r="74" spans="1:17" x14ac:dyDescent="0.25">
      <c r="A74" s="1" t="s">
        <v>926</v>
      </c>
      <c r="B74" s="50">
        <f>(52*12*J74)*I74</f>
        <v>670.17600000000004</v>
      </c>
      <c r="C74" s="50">
        <f t="shared" si="16"/>
        <v>51.268464000000002</v>
      </c>
      <c r="D74" s="50"/>
      <c r="E74" s="50"/>
      <c r="F74" s="50">
        <f t="shared" si="17"/>
        <v>13.40352</v>
      </c>
      <c r="G74" s="50"/>
      <c r="H74" s="1" t="s">
        <v>927</v>
      </c>
      <c r="I74" s="49">
        <v>0.04</v>
      </c>
      <c r="J74" s="49">
        <v>26.85</v>
      </c>
      <c r="L74" s="54">
        <f>J74*L71</f>
        <v>0.67125000000000012</v>
      </c>
      <c r="M74" s="54">
        <f>(L74+J74)*M71</f>
        <v>0.68803125000000009</v>
      </c>
      <c r="P74" s="1" t="s">
        <v>738</v>
      </c>
      <c r="Q74" s="10">
        <f t="shared" si="15"/>
        <v>4985.4406399999998</v>
      </c>
    </row>
    <row r="75" spans="1:17" x14ac:dyDescent="0.25">
      <c r="A75" s="1" t="str">
        <f>"Staff (FT-"&amp;I75&amp;")"</f>
        <v>Staff (FT-0)</v>
      </c>
      <c r="B75" s="50"/>
      <c r="C75" s="50"/>
      <c r="D75" s="50"/>
      <c r="E75" s="50"/>
      <c r="F75" s="50"/>
      <c r="G75" s="50"/>
      <c r="I75" s="49">
        <v>0</v>
      </c>
      <c r="J75" s="49">
        <v>28.73</v>
      </c>
      <c r="L75" s="54">
        <f>J75*L71*2</f>
        <v>1.4365000000000001</v>
      </c>
      <c r="M75" s="54">
        <f>(L75+J75)*M71*2</f>
        <v>1.5083250000000001</v>
      </c>
      <c r="P75" s="1" t="s">
        <v>740</v>
      </c>
      <c r="Q75" s="10">
        <f t="shared" si="15"/>
        <v>76.800000000000011</v>
      </c>
    </row>
    <row r="76" spans="1:17" x14ac:dyDescent="0.25">
      <c r="A76" s="78" t="str">
        <f>"Staff (PT-"&amp;I76&amp;")"</f>
        <v>Staff (PT-0)</v>
      </c>
      <c r="B76" s="79"/>
      <c r="C76" s="79"/>
      <c r="D76" s="79"/>
      <c r="E76" s="79"/>
      <c r="F76" s="79"/>
      <c r="G76" s="79"/>
      <c r="H76" s="78"/>
      <c r="I76" s="49">
        <v>0</v>
      </c>
      <c r="J76" s="49">
        <v>20.47</v>
      </c>
      <c r="L76" s="54">
        <f>J76*L71*3</f>
        <v>1.53525</v>
      </c>
      <c r="M76" s="54">
        <f>(L76+J76)*M71*3</f>
        <v>1.6503937500000001</v>
      </c>
    </row>
    <row r="77" spans="1:17" x14ac:dyDescent="0.25">
      <c r="A77" s="1" t="s">
        <v>911</v>
      </c>
      <c r="B77" s="50"/>
      <c r="C77" s="50"/>
      <c r="D77" s="50"/>
      <c r="E77" s="50"/>
      <c r="F77" s="50"/>
      <c r="G77" s="50"/>
      <c r="I77" s="49">
        <v>0</v>
      </c>
      <c r="J77" s="49">
        <v>78000</v>
      </c>
    </row>
    <row r="78" spans="1:17" x14ac:dyDescent="0.25">
      <c r="A78" s="78" t="s">
        <v>912</v>
      </c>
      <c r="B78" s="79"/>
      <c r="C78" s="79"/>
      <c r="D78" s="79"/>
      <c r="E78" s="79"/>
      <c r="F78" s="79"/>
      <c r="G78" s="79"/>
      <c r="H78" s="78"/>
      <c r="I78" s="49">
        <v>0</v>
      </c>
      <c r="J78" s="49">
        <v>69000</v>
      </c>
    </row>
    <row r="79" spans="1:17" x14ac:dyDescent="0.25">
      <c r="A79" s="1" t="s">
        <v>913</v>
      </c>
      <c r="B79" s="50"/>
      <c r="C79" s="50"/>
      <c r="D79" s="50"/>
      <c r="E79" s="50"/>
      <c r="F79" s="50"/>
      <c r="G79" s="50"/>
      <c r="I79" s="49">
        <v>0</v>
      </c>
      <c r="J79" s="49">
        <v>30000</v>
      </c>
    </row>
    <row r="80" spans="1:17" x14ac:dyDescent="0.25">
      <c r="A80" s="1" t="s">
        <v>930</v>
      </c>
      <c r="B80" s="50">
        <f>(2080*(J80+J81))*I80</f>
        <v>750.26536000000021</v>
      </c>
      <c r="C80" s="50">
        <f t="shared" si="16"/>
        <v>57.395300040000016</v>
      </c>
      <c r="D80" s="50"/>
      <c r="E80" s="50"/>
      <c r="F80" s="50"/>
      <c r="G80" s="50"/>
      <c r="I80" s="49">
        <v>0.04</v>
      </c>
      <c r="J80" s="55">
        <f>SUM(L73:L76)</f>
        <v>4.3975000000000009</v>
      </c>
    </row>
    <row r="81" spans="1:10" x14ac:dyDescent="0.25">
      <c r="B81" s="50"/>
      <c r="C81" s="50">
        <f t="shared" si="16"/>
        <v>0</v>
      </c>
      <c r="D81" s="50"/>
      <c r="E81" s="50"/>
      <c r="F81" s="50"/>
      <c r="G81" s="50"/>
      <c r="I81" s="49"/>
      <c r="J81" s="55">
        <f>SUM(M73:M76)</f>
        <v>4.6201125000000003</v>
      </c>
    </row>
    <row r="82" spans="1:10" ht="21" customHeight="1" thickBot="1" x14ac:dyDescent="0.3">
      <c r="A82" s="40" t="s">
        <v>934</v>
      </c>
      <c r="B82" s="43">
        <f t="shared" ref="B82:G82" si="18">SUM(B72:B81)</f>
        <v>8659.8013600000013</v>
      </c>
      <c r="C82" s="43">
        <f t="shared" si="18"/>
        <v>662.47480404000009</v>
      </c>
      <c r="D82" s="43">
        <f t="shared" si="18"/>
        <v>1134</v>
      </c>
      <c r="E82" s="43">
        <f t="shared" si="18"/>
        <v>1046.8824</v>
      </c>
      <c r="F82" s="43">
        <f t="shared" si="18"/>
        <v>158.19072</v>
      </c>
      <c r="G82" s="43">
        <f t="shared" si="18"/>
        <v>19.200000000000003</v>
      </c>
      <c r="H82" s="43">
        <f>SUM(B82:G82)</f>
        <v>11680.549284040004</v>
      </c>
      <c r="J82" s="55"/>
    </row>
    <row r="83" spans="1:10" ht="15.75" thickTop="1" x14ac:dyDescent="0.25">
      <c r="A83" s="1" t="s">
        <v>915</v>
      </c>
      <c r="B83" s="51">
        <f>_xlfn.XLOOKUP(B70,'Master Budget'!$G$4:$G$360,'Master Budget'!$N$4:$N$360,0)</f>
        <v>8668.3726500000012</v>
      </c>
      <c r="C83" s="51">
        <f>_xlfn.XLOOKUP(C70,'Master Budget'!$G$4:$G$360,'Master Budget'!$N$4:$N$360,0)</f>
        <v>663.13050772500003</v>
      </c>
      <c r="D83" s="51">
        <f>_xlfn.XLOOKUP(D70,'Master Budget'!$G$4:$G$360,'Master Budget'!$N$4:$N$360,0)</f>
        <v>1134</v>
      </c>
      <c r="E83" s="51">
        <f>_xlfn.XLOOKUP(E70,'Master Budget'!$G$4:$G$360,'Master Budget'!$N$4:$N$360,0)</f>
        <v>1046.8824</v>
      </c>
      <c r="F83" s="51">
        <f>_xlfn.XLOOKUP(F70,'Master Budget'!$G$4:$G$360,'Master Budget'!$N$4:$N$360,0)</f>
        <v>158.61578880000002</v>
      </c>
      <c r="G83" s="51">
        <f>_xlfn.XLOOKUP(G70,'Master Budget'!$G$4:$G$360,'Master Budget'!$N$4:$N$360,0)</f>
        <v>19.200000000000003</v>
      </c>
    </row>
    <row r="84" spans="1:10" x14ac:dyDescent="0.25">
      <c r="B84" s="52">
        <f t="shared" ref="B84:G84" si="19">B82-B83</f>
        <v>-8.5712899999998626</v>
      </c>
      <c r="C84" s="52">
        <f t="shared" si="19"/>
        <v>-0.65570368499993492</v>
      </c>
      <c r="D84" s="52">
        <f t="shared" si="19"/>
        <v>0</v>
      </c>
      <c r="E84" s="52">
        <f t="shared" si="19"/>
        <v>0</v>
      </c>
      <c r="F84" s="52">
        <f t="shared" si="19"/>
        <v>-0.42506880000001956</v>
      </c>
      <c r="G84" s="52">
        <f t="shared" si="19"/>
        <v>0</v>
      </c>
    </row>
    <row r="85" spans="1:10" x14ac:dyDescent="0.25">
      <c r="B85" s="10"/>
      <c r="C85" s="10"/>
      <c r="D85" s="10"/>
      <c r="E85" s="10"/>
      <c r="F85" s="10"/>
      <c r="G85" s="10"/>
      <c r="H85" s="56">
        <f>SUM(H82,H66,H50,H34,H22)</f>
        <v>2817422.8710610401</v>
      </c>
    </row>
  </sheetData>
  <pageMargins left="0.7" right="0.7" top="0.75" bottom="0.75" header="0.3" footer="0.3"/>
  <pageSetup scale="6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C8B6F-996A-48AF-88EF-A9400886E2CF}">
  <sheetPr>
    <tabColor theme="9" tint="0.39997558519241921"/>
    <pageSetUpPr fitToPage="1"/>
  </sheetPr>
  <dimension ref="A1:M28"/>
  <sheetViews>
    <sheetView workbookViewId="0">
      <selection activeCell="F23" sqref="F23"/>
    </sheetView>
  </sheetViews>
  <sheetFormatPr defaultRowHeight="15" x14ac:dyDescent="0.25"/>
  <cols>
    <col min="1" max="1" width="20.28515625" bestFit="1" customWidth="1"/>
    <col min="2" max="4" width="12.5703125" customWidth="1"/>
    <col min="5" max="5" width="1.7109375" customWidth="1"/>
    <col min="6" max="10" width="12.5703125" customWidth="1"/>
    <col min="11" max="11" width="1.7109375" customWidth="1"/>
    <col min="12" max="12" width="11.5703125" bestFit="1" customWidth="1"/>
    <col min="13" max="13" width="12.28515625" bestFit="1" customWidth="1"/>
  </cols>
  <sheetData>
    <row r="1" spans="1:13" x14ac:dyDescent="0.25">
      <c r="A1" t="str">
        <f>'25 Capital Budget'!A1</f>
        <v>NFSSD</v>
      </c>
    </row>
    <row r="2" spans="1:13" x14ac:dyDescent="0.25">
      <c r="A2" t="s">
        <v>1139</v>
      </c>
    </row>
    <row r="8" spans="1:13" x14ac:dyDescent="0.25">
      <c r="A8" s="11"/>
      <c r="B8" s="57" t="s">
        <v>33</v>
      </c>
      <c r="C8" s="57"/>
      <c r="D8" s="57"/>
      <c r="E8" s="140"/>
      <c r="F8" s="57" t="s">
        <v>34</v>
      </c>
      <c r="G8" s="57"/>
      <c r="H8" s="57"/>
      <c r="I8" s="57"/>
      <c r="J8" s="57"/>
      <c r="K8" s="140"/>
    </row>
    <row r="9" spans="1:13" ht="45" x14ac:dyDescent="0.25">
      <c r="A9" s="11"/>
      <c r="B9" s="144" t="s">
        <v>982</v>
      </c>
      <c r="C9" s="144" t="s">
        <v>983</v>
      </c>
      <c r="D9" s="144" t="s">
        <v>1140</v>
      </c>
      <c r="E9" s="144"/>
      <c r="F9" s="145" t="s">
        <v>984</v>
      </c>
      <c r="G9" s="144" t="s">
        <v>985</v>
      </c>
      <c r="H9" s="144" t="s">
        <v>986</v>
      </c>
      <c r="I9" s="144" t="s">
        <v>1141</v>
      </c>
      <c r="J9" s="144" t="s">
        <v>987</v>
      </c>
      <c r="K9" s="153"/>
      <c r="L9" s="144" t="s">
        <v>1142</v>
      </c>
      <c r="M9" s="144" t="s">
        <v>1143</v>
      </c>
    </row>
    <row r="10" spans="1:13" ht="21" customHeight="1" x14ac:dyDescent="0.25">
      <c r="A10" s="149" t="s">
        <v>1144</v>
      </c>
      <c r="B10" s="141">
        <v>3000000</v>
      </c>
      <c r="C10" s="141">
        <v>2000000</v>
      </c>
      <c r="D10" s="141">
        <v>100000</v>
      </c>
      <c r="E10" s="141"/>
      <c r="F10" s="141">
        <f>4000000+462000</f>
        <v>4462000</v>
      </c>
      <c r="G10" s="141">
        <v>3000000</v>
      </c>
      <c r="H10" s="141">
        <v>1000000</v>
      </c>
      <c r="I10" s="141">
        <v>3000000</v>
      </c>
      <c r="J10" s="141">
        <v>3551000</v>
      </c>
      <c r="K10" s="19"/>
      <c r="L10" s="146">
        <f>SUM(B10:J10)</f>
        <v>20113000</v>
      </c>
    </row>
    <row r="11" spans="1:13" x14ac:dyDescent="0.25">
      <c r="A11" s="11" t="s">
        <v>1145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54"/>
    </row>
    <row r="12" spans="1:13" x14ac:dyDescent="0.25">
      <c r="A12" s="11" t="s">
        <v>990</v>
      </c>
      <c r="B12" s="21">
        <v>-1200000</v>
      </c>
      <c r="C12" s="8"/>
      <c r="D12" s="8"/>
      <c r="E12" s="8"/>
      <c r="F12" s="8"/>
      <c r="G12" s="8"/>
      <c r="H12" s="8"/>
      <c r="I12" s="8"/>
      <c r="J12" s="1"/>
      <c r="K12" s="1"/>
      <c r="M12" s="146">
        <f t="shared" ref="M12:M18" si="0">SUM(B12:J12)</f>
        <v>-1200000</v>
      </c>
    </row>
    <row r="13" spans="1:13" x14ac:dyDescent="0.25">
      <c r="A13" s="11" t="s">
        <v>992</v>
      </c>
      <c r="B13" s="21">
        <f>-239000-3700</f>
        <v>-242700</v>
      </c>
      <c r="C13" s="8"/>
      <c r="D13" s="8"/>
      <c r="E13" s="8"/>
      <c r="F13" s="8"/>
      <c r="G13" s="8"/>
      <c r="H13" s="8"/>
      <c r="I13" s="8"/>
      <c r="J13" s="1"/>
      <c r="K13" s="1"/>
      <c r="M13" s="146">
        <f t="shared" si="0"/>
        <v>-242700</v>
      </c>
    </row>
    <row r="14" spans="1:13" x14ac:dyDescent="0.25">
      <c r="A14" s="11" t="s">
        <v>994</v>
      </c>
      <c r="B14" s="142">
        <f>-741749-93000-B15</f>
        <v>-764749</v>
      </c>
      <c r="C14" s="8"/>
      <c r="D14" s="8"/>
      <c r="E14" s="8"/>
      <c r="F14" s="8"/>
      <c r="G14" s="8"/>
      <c r="H14" s="8"/>
      <c r="I14" s="8"/>
      <c r="J14" s="1"/>
      <c r="K14" s="1"/>
      <c r="M14" s="146">
        <f t="shared" si="0"/>
        <v>-764749</v>
      </c>
    </row>
    <row r="15" spans="1:13" x14ac:dyDescent="0.25">
      <c r="A15" s="11" t="s">
        <v>1146</v>
      </c>
      <c r="B15" s="143">
        <v>-70000</v>
      </c>
      <c r="C15" s="8"/>
      <c r="D15" s="8"/>
      <c r="E15" s="8"/>
      <c r="F15" s="8"/>
      <c r="G15" s="8"/>
      <c r="H15" s="8"/>
      <c r="I15" s="8"/>
      <c r="J15" s="1"/>
      <c r="K15" s="1"/>
      <c r="M15" s="146">
        <f t="shared" si="0"/>
        <v>-70000</v>
      </c>
    </row>
    <row r="16" spans="1:13" x14ac:dyDescent="0.25">
      <c r="A16" s="11" t="s">
        <v>998</v>
      </c>
      <c r="B16" s="8">
        <v>-400000</v>
      </c>
      <c r="C16" s="8"/>
      <c r="D16" s="8"/>
      <c r="E16" s="8"/>
      <c r="F16" s="8"/>
      <c r="G16" s="8"/>
      <c r="H16" s="8"/>
      <c r="I16" s="8"/>
      <c r="J16" s="1"/>
      <c r="K16" s="1"/>
      <c r="M16" s="146">
        <f t="shared" si="0"/>
        <v>-400000</v>
      </c>
    </row>
    <row r="17" spans="1:13" x14ac:dyDescent="0.25">
      <c r="A17" s="11" t="s">
        <v>1000</v>
      </c>
      <c r="B17" s="8">
        <v>-291000</v>
      </c>
      <c r="C17" s="8"/>
      <c r="D17" s="8"/>
      <c r="E17" s="8"/>
      <c r="F17" s="8"/>
      <c r="G17" s="8"/>
      <c r="H17" s="8"/>
      <c r="I17" s="8"/>
      <c r="J17" s="1"/>
      <c r="K17" s="1"/>
      <c r="M17" s="146">
        <f t="shared" si="0"/>
        <v>-291000</v>
      </c>
    </row>
    <row r="18" spans="1:13" x14ac:dyDescent="0.25">
      <c r="A18" s="3" t="s">
        <v>1002</v>
      </c>
      <c r="B18" s="8">
        <v>-9000</v>
      </c>
      <c r="C18" s="8"/>
      <c r="D18" s="8"/>
      <c r="E18" s="8"/>
      <c r="F18" s="8"/>
      <c r="G18" s="8"/>
      <c r="H18" s="8"/>
      <c r="I18" s="8"/>
      <c r="J18" s="1"/>
      <c r="K18" s="1"/>
      <c r="M18" s="146">
        <f t="shared" si="0"/>
        <v>-9000</v>
      </c>
    </row>
    <row r="19" spans="1:13" x14ac:dyDescent="0.25">
      <c r="A19" s="11"/>
      <c r="B19" s="8"/>
      <c r="C19" s="8"/>
      <c r="D19" s="8"/>
      <c r="E19" s="8"/>
      <c r="F19" s="8"/>
      <c r="G19" s="8"/>
      <c r="H19" s="8"/>
      <c r="I19" s="8"/>
      <c r="J19" s="1"/>
      <c r="K19" s="1"/>
    </row>
    <row r="20" spans="1:13" x14ac:dyDescent="0.25">
      <c r="A20" s="11" t="s">
        <v>1006</v>
      </c>
      <c r="B20" s="8"/>
      <c r="C20" s="8"/>
      <c r="D20" s="8">
        <v>-100000</v>
      </c>
      <c r="E20" s="8"/>
      <c r="F20" s="8"/>
      <c r="G20" s="8"/>
      <c r="H20" s="8"/>
      <c r="I20" s="8"/>
      <c r="J20" s="1"/>
      <c r="K20" s="1"/>
      <c r="M20" s="146">
        <f t="shared" ref="M20:M21" si="1">SUM(B20:J20)</f>
        <v>-100000</v>
      </c>
    </row>
    <row r="21" spans="1:13" x14ac:dyDescent="0.25">
      <c r="A21" s="11" t="s">
        <v>1008</v>
      </c>
      <c r="B21" s="8"/>
      <c r="C21" s="8">
        <v>-2000000</v>
      </c>
      <c r="D21" s="8"/>
      <c r="E21" s="8"/>
      <c r="F21" s="8"/>
      <c r="G21" s="8"/>
      <c r="H21" s="8"/>
      <c r="I21" s="8"/>
      <c r="J21" s="1"/>
      <c r="K21" s="1"/>
      <c r="M21" s="146">
        <f t="shared" si="1"/>
        <v>-2000000</v>
      </c>
    </row>
    <row r="22" spans="1:13" x14ac:dyDescent="0.25">
      <c r="A22" s="11"/>
      <c r="B22" s="8"/>
      <c r="C22" s="8"/>
      <c r="D22" s="8"/>
      <c r="E22" s="8"/>
      <c r="F22" s="8"/>
      <c r="G22" s="8"/>
      <c r="H22" s="8"/>
      <c r="I22" s="8"/>
      <c r="J22" s="1"/>
      <c r="K22" s="1"/>
    </row>
    <row r="23" spans="1:13" x14ac:dyDescent="0.25">
      <c r="A23" s="11" t="s">
        <v>1011</v>
      </c>
      <c r="B23" s="8"/>
      <c r="C23" s="8"/>
      <c r="D23" s="8"/>
      <c r="E23" s="8"/>
      <c r="F23" s="8">
        <v>-750000</v>
      </c>
      <c r="G23" s="8"/>
      <c r="H23" s="8"/>
      <c r="I23" s="8"/>
      <c r="J23" s="1"/>
      <c r="K23" s="1"/>
      <c r="M23" s="146">
        <f t="shared" ref="M23:M24" si="2">SUM(B23:J23)</f>
        <v>-750000</v>
      </c>
    </row>
    <row r="24" spans="1:13" x14ac:dyDescent="0.25">
      <c r="A24" s="11" t="s">
        <v>1012</v>
      </c>
      <c r="B24" s="8"/>
      <c r="C24" s="8"/>
      <c r="D24" s="8"/>
      <c r="E24" s="8"/>
      <c r="F24" s="8">
        <v>-400000</v>
      </c>
      <c r="G24" s="8"/>
      <c r="H24" s="8"/>
      <c r="I24" s="8"/>
      <c r="J24" s="1"/>
      <c r="K24" s="1"/>
      <c r="M24" s="146">
        <f t="shared" si="2"/>
        <v>-400000</v>
      </c>
    </row>
    <row r="25" spans="1:13" x14ac:dyDescent="0.25">
      <c r="A25" s="11" t="s">
        <v>1013</v>
      </c>
      <c r="B25" s="8"/>
      <c r="C25" s="8"/>
      <c r="D25" s="8"/>
      <c r="E25" s="8"/>
      <c r="F25" s="8">
        <f>-2850000-462000</f>
        <v>-3312000</v>
      </c>
      <c r="G25" s="8">
        <v>-3000000</v>
      </c>
      <c r="H25" s="8">
        <f>-1000000-H26</f>
        <v>-900000</v>
      </c>
      <c r="I25" s="8">
        <v>-3000000</v>
      </c>
      <c r="J25" s="8">
        <f>-10900000-I25-H25-G25-F25</f>
        <v>-688000</v>
      </c>
      <c r="K25" s="19"/>
      <c r="M25" s="146">
        <f>SUM(B25:J25)</f>
        <v>-10900000</v>
      </c>
    </row>
    <row r="26" spans="1:13" x14ac:dyDescent="0.25">
      <c r="A26" s="11" t="s">
        <v>1014</v>
      </c>
      <c r="B26" s="8"/>
      <c r="C26" s="8"/>
      <c r="D26" s="8"/>
      <c r="E26" s="8"/>
      <c r="F26" s="8"/>
      <c r="G26" s="8"/>
      <c r="H26" s="8">
        <v>-100000</v>
      </c>
      <c r="I26" s="8"/>
      <c r="J26" s="1"/>
      <c r="K26" s="1"/>
    </row>
    <row r="27" spans="1:13" ht="15.75" thickBot="1" x14ac:dyDescent="0.3">
      <c r="A27" s="11"/>
      <c r="B27" s="12">
        <f t="shared" ref="B27:M27" si="3">SUM(B10:B26)</f>
        <v>22551</v>
      </c>
      <c r="C27" s="12">
        <f t="shared" si="3"/>
        <v>0</v>
      </c>
      <c r="D27" s="12">
        <f t="shared" si="3"/>
        <v>0</v>
      </c>
      <c r="E27" s="12"/>
      <c r="F27" s="12">
        <f t="shared" si="3"/>
        <v>0</v>
      </c>
      <c r="G27" s="12">
        <f t="shared" si="3"/>
        <v>0</v>
      </c>
      <c r="H27" s="12">
        <f t="shared" si="3"/>
        <v>0</v>
      </c>
      <c r="I27" s="12">
        <f>SUM(I10:I26)</f>
        <v>0</v>
      </c>
      <c r="J27" s="12">
        <f t="shared" si="3"/>
        <v>2863000</v>
      </c>
      <c r="K27" s="19"/>
      <c r="M27" s="12">
        <f t="shared" si="3"/>
        <v>-17127449</v>
      </c>
    </row>
    <row r="28" spans="1:13" ht="15.75" thickTop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pageMargins left="0.7" right="0.7" top="0.75" bottom="0.75" header="0.3" footer="0.3"/>
  <pageSetup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7E25D-2E3D-4040-91D4-715505431EBE}">
  <sheetPr>
    <tabColor theme="9" tint="0.59999389629810485"/>
    <pageSetUpPr fitToPage="1"/>
  </sheetPr>
  <dimension ref="A1:S64"/>
  <sheetViews>
    <sheetView zoomScaleNormal="100" workbookViewId="0">
      <pane xSplit="1" ySplit="4" topLeftCell="B13" activePane="bottomRight" state="frozen"/>
      <selection pane="topRight" activeCell="H59" sqref="H59"/>
      <selection pane="bottomLeft" activeCell="H59" sqref="H59"/>
      <selection pane="bottomRight" activeCell="J35" sqref="J35"/>
    </sheetView>
  </sheetViews>
  <sheetFormatPr defaultRowHeight="15" x14ac:dyDescent="0.25"/>
  <cols>
    <col min="1" max="1" width="24.85546875" style="1" customWidth="1"/>
    <col min="2" max="2" width="11" style="1" bestFit="1" customWidth="1"/>
    <col min="3" max="6" width="12.28515625" style="1" customWidth="1"/>
    <col min="7" max="7" width="13.85546875" style="1" bestFit="1" customWidth="1"/>
    <col min="8" max="10" width="12.28515625" style="1" customWidth="1"/>
    <col min="11" max="11" width="11.140625" style="1" bestFit="1" customWidth="1"/>
    <col min="12" max="12" width="22.140625" style="3" bestFit="1" customWidth="1"/>
    <col min="13" max="13" width="13.85546875" style="1" customWidth="1"/>
    <col min="14" max="14" width="14.5703125" style="1" bestFit="1" customWidth="1"/>
    <col min="15" max="16" width="15.140625" style="1" bestFit="1" customWidth="1"/>
    <col min="17" max="17" width="15.85546875" style="1" customWidth="1"/>
    <col min="18" max="18" width="13.85546875" style="1" customWidth="1"/>
    <col min="19" max="19" width="15.85546875" style="1" bestFit="1" customWidth="1"/>
    <col min="20" max="16384" width="9.140625" style="1"/>
  </cols>
  <sheetData>
    <row r="1" spans="1:18" x14ac:dyDescent="0.25">
      <c r="A1" s="1" t="s">
        <v>825</v>
      </c>
      <c r="C1" s="2">
        <f t="shared" ref="C1:H1" si="0">C13+C16+C21+C38+C55</f>
        <v>1289000</v>
      </c>
      <c r="D1" s="2">
        <f t="shared" si="0"/>
        <v>4281000</v>
      </c>
      <c r="E1" s="2">
        <f t="shared" si="0"/>
        <v>10115000</v>
      </c>
      <c r="F1" s="2">
        <f t="shared" si="0"/>
        <v>9273000</v>
      </c>
      <c r="G1" s="2">
        <f t="shared" si="0"/>
        <v>9706000</v>
      </c>
      <c r="H1" s="2">
        <f t="shared" si="0"/>
        <v>29381000</v>
      </c>
      <c r="I1" s="133">
        <f>I13+I16+I21+I38+I55</f>
        <v>10255500</v>
      </c>
      <c r="J1" s="133">
        <f>J13+J16+J21+J38+J55</f>
        <v>5255000</v>
      </c>
    </row>
    <row r="2" spans="1:18" x14ac:dyDescent="0.25">
      <c r="A2" s="1" t="s">
        <v>953</v>
      </c>
    </row>
    <row r="4" spans="1:18" x14ac:dyDescent="0.25">
      <c r="A4" s="4" t="s">
        <v>954</v>
      </c>
      <c r="B4" s="5" t="s">
        <v>44</v>
      </c>
      <c r="C4" s="5" t="s">
        <v>955</v>
      </c>
      <c r="D4" s="5" t="s">
        <v>956</v>
      </c>
      <c r="E4" s="5" t="s">
        <v>957</v>
      </c>
      <c r="F4" s="5" t="s">
        <v>958</v>
      </c>
      <c r="G4" s="5" t="s">
        <v>959</v>
      </c>
      <c r="H4" s="5" t="s">
        <v>960</v>
      </c>
      <c r="I4" s="5" t="s">
        <v>961</v>
      </c>
      <c r="J4" s="5" t="s">
        <v>962</v>
      </c>
      <c r="M4" s="6" t="str">
        <f>D4</f>
        <v>FY23</v>
      </c>
      <c r="N4" s="6" t="str">
        <f>E4</f>
        <v>FY23 Amended</v>
      </c>
      <c r="O4" s="6" t="str">
        <f>F4</f>
        <v>FY24</v>
      </c>
      <c r="P4" s="6" t="str">
        <f>G4</f>
        <v>FY24 Amended</v>
      </c>
      <c r="Q4" s="6" t="str">
        <f>H4</f>
        <v>FY25</v>
      </c>
      <c r="R4" s="6" t="str">
        <f t="shared" ref="R4" si="1">J4</f>
        <v>FY26</v>
      </c>
    </row>
    <row r="5" spans="1:18" x14ac:dyDescent="0.25">
      <c r="B5" s="6"/>
      <c r="C5" s="6"/>
      <c r="D5" s="6"/>
      <c r="E5" s="6"/>
      <c r="F5" s="6"/>
      <c r="G5" s="6"/>
    </row>
    <row r="6" spans="1:18" x14ac:dyDescent="0.25">
      <c r="A6" s="7" t="s">
        <v>32</v>
      </c>
      <c r="L6" s="3" t="s">
        <v>341</v>
      </c>
      <c r="M6" s="8">
        <f>D16</f>
        <v>0</v>
      </c>
      <c r="N6" s="8">
        <f>E16</f>
        <v>5000000</v>
      </c>
      <c r="O6" s="8">
        <f>F16</f>
        <v>0</v>
      </c>
      <c r="P6" s="8">
        <f>G16</f>
        <v>0</v>
      </c>
      <c r="Q6" s="8">
        <f>H16</f>
        <v>14000000</v>
      </c>
      <c r="R6" s="8">
        <f t="shared" ref="R6" si="2">J16</f>
        <v>0</v>
      </c>
    </row>
    <row r="7" spans="1:18" x14ac:dyDescent="0.25">
      <c r="A7" s="9" t="s">
        <v>965</v>
      </c>
      <c r="B7" s="10"/>
      <c r="C7" s="8">
        <v>0</v>
      </c>
      <c r="D7" s="8">
        <v>295000</v>
      </c>
      <c r="E7" s="8">
        <v>412000</v>
      </c>
      <c r="F7" s="8">
        <v>0</v>
      </c>
      <c r="G7" s="8">
        <v>0</v>
      </c>
      <c r="H7" s="8"/>
      <c r="I7" s="8"/>
      <c r="J7" s="8"/>
      <c r="L7" s="3" t="s">
        <v>343</v>
      </c>
      <c r="M7" s="8">
        <f>D13</f>
        <v>365000</v>
      </c>
      <c r="N7" s="8">
        <f>E13</f>
        <v>867000</v>
      </c>
      <c r="O7" s="8">
        <f>F13</f>
        <v>40000</v>
      </c>
      <c r="P7" s="8">
        <f>G13</f>
        <v>40000</v>
      </c>
      <c r="Q7" s="8">
        <f>H13</f>
        <v>295000</v>
      </c>
      <c r="R7" s="8">
        <f t="shared" ref="R7" si="3">J13</f>
        <v>0</v>
      </c>
    </row>
    <row r="8" spans="1:18" x14ac:dyDescent="0.25">
      <c r="A8" s="9" t="s">
        <v>966</v>
      </c>
      <c r="B8" s="10"/>
      <c r="C8" s="8"/>
      <c r="D8" s="8"/>
      <c r="E8" s="8">
        <v>285000</v>
      </c>
      <c r="F8" s="8"/>
      <c r="G8" s="8"/>
      <c r="H8" s="8"/>
      <c r="I8" s="8"/>
      <c r="J8" s="8"/>
      <c r="L8" s="3" t="s">
        <v>440</v>
      </c>
      <c r="M8" s="8">
        <f>D21</f>
        <v>0</v>
      </c>
      <c r="N8" s="8">
        <f>E21</f>
        <v>0</v>
      </c>
      <c r="O8" s="8">
        <f>F21</f>
        <v>0</v>
      </c>
      <c r="P8" s="8">
        <f>G21</f>
        <v>0</v>
      </c>
      <c r="Q8" s="8">
        <f>H21</f>
        <v>0</v>
      </c>
      <c r="R8" s="8">
        <f t="shared" ref="R8" si="4">J21</f>
        <v>515000</v>
      </c>
    </row>
    <row r="9" spans="1:18" x14ac:dyDescent="0.25">
      <c r="A9" s="9" t="s">
        <v>967</v>
      </c>
      <c r="B9" s="10"/>
      <c r="C9" s="8"/>
      <c r="D9" s="8"/>
      <c r="E9" s="8"/>
      <c r="F9" s="8"/>
      <c r="G9" s="8"/>
      <c r="H9" s="8">
        <v>295000</v>
      </c>
      <c r="I9" s="8">
        <v>295000</v>
      </c>
      <c r="J9" s="8"/>
      <c r="L9" s="11" t="s">
        <v>672</v>
      </c>
      <c r="M9" s="8">
        <f>D38</f>
        <v>150000</v>
      </c>
      <c r="N9" s="8">
        <f>E38</f>
        <v>482000</v>
      </c>
      <c r="O9" s="8">
        <f>F38</f>
        <v>4050000</v>
      </c>
      <c r="P9" s="8">
        <f>G38</f>
        <v>3800000</v>
      </c>
      <c r="Q9" s="8">
        <f>H38</f>
        <v>3905500</v>
      </c>
      <c r="R9" s="8">
        <f t="shared" ref="R9" si="5">J38</f>
        <v>1120000</v>
      </c>
    </row>
    <row r="10" spans="1:18" x14ac:dyDescent="0.25">
      <c r="A10" s="9" t="s">
        <v>968</v>
      </c>
      <c r="B10" s="10"/>
      <c r="C10" s="8">
        <v>0</v>
      </c>
      <c r="D10" s="8">
        <v>0</v>
      </c>
      <c r="E10" s="8">
        <v>0</v>
      </c>
      <c r="F10" s="8"/>
      <c r="G10" s="8"/>
      <c r="H10" s="8"/>
      <c r="I10" s="8"/>
      <c r="J10" s="8"/>
      <c r="L10" s="11" t="s">
        <v>788</v>
      </c>
      <c r="M10" s="8">
        <f>D55</f>
        <v>3766000</v>
      </c>
      <c r="N10" s="8">
        <f>E55</f>
        <v>3766000</v>
      </c>
      <c r="O10" s="8">
        <f>F55</f>
        <v>5183000</v>
      </c>
      <c r="P10" s="8">
        <f>G55</f>
        <v>5866000</v>
      </c>
      <c r="Q10" s="8">
        <f>H55</f>
        <v>11180500</v>
      </c>
      <c r="R10" s="8">
        <f t="shared" ref="R10" si="6">J55</f>
        <v>3620000</v>
      </c>
    </row>
    <row r="11" spans="1:18" x14ac:dyDescent="0.25">
      <c r="A11" s="9" t="s">
        <v>974</v>
      </c>
      <c r="B11" s="10"/>
      <c r="C11" s="8">
        <v>0</v>
      </c>
      <c r="D11" s="8">
        <v>70000</v>
      </c>
      <c r="E11" s="8">
        <v>70000</v>
      </c>
      <c r="F11" s="8">
        <v>40000</v>
      </c>
      <c r="G11" s="8">
        <v>40000</v>
      </c>
      <c r="H11" s="8"/>
      <c r="I11" s="8"/>
      <c r="J11" s="8"/>
      <c r="L11" s="11" t="s">
        <v>811</v>
      </c>
      <c r="M11" s="8">
        <f>D60</f>
        <v>0</v>
      </c>
      <c r="N11" s="8">
        <f>E60</f>
        <v>0</v>
      </c>
      <c r="O11" s="8">
        <f>F60</f>
        <v>0</v>
      </c>
      <c r="P11" s="8">
        <f>G60</f>
        <v>0</v>
      </c>
      <c r="Q11" s="8">
        <f>H60</f>
        <v>0</v>
      </c>
      <c r="R11" s="8">
        <f t="shared" ref="R11" si="7">J60</f>
        <v>0</v>
      </c>
    </row>
    <row r="12" spans="1:18" ht="15.75" thickBot="1" x14ac:dyDescent="0.3">
      <c r="A12" s="9" t="s">
        <v>975</v>
      </c>
      <c r="B12" s="10"/>
      <c r="C12" s="8"/>
      <c r="D12" s="8"/>
      <c r="E12" s="8">
        <v>100000</v>
      </c>
      <c r="F12" s="8">
        <v>0</v>
      </c>
      <c r="G12" s="8">
        <v>0</v>
      </c>
      <c r="H12" s="8"/>
      <c r="I12" s="8"/>
      <c r="J12" s="8"/>
      <c r="L12" s="11"/>
      <c r="M12" s="12">
        <f t="shared" ref="M12:R12" si="8">SUM(M6:M11)</f>
        <v>4281000</v>
      </c>
      <c r="N12" s="12">
        <f t="shared" si="8"/>
        <v>10115000</v>
      </c>
      <c r="O12" s="12">
        <f t="shared" si="8"/>
        <v>9273000</v>
      </c>
      <c r="P12" s="12">
        <f t="shared" si="8"/>
        <v>9706000</v>
      </c>
      <c r="Q12" s="12">
        <f t="shared" si="8"/>
        <v>29381000</v>
      </c>
      <c r="R12" s="12">
        <f t="shared" si="8"/>
        <v>5255000</v>
      </c>
    </row>
    <row r="13" spans="1:18" ht="16.5" thickTop="1" thickBot="1" x14ac:dyDescent="0.3">
      <c r="A13" s="13" t="s">
        <v>344</v>
      </c>
      <c r="B13" s="14" t="s">
        <v>343</v>
      </c>
      <c r="C13" s="15">
        <f>SUM(C7:C12)</f>
        <v>0</v>
      </c>
      <c r="D13" s="15">
        <f t="shared" ref="D13:J13" si="9">SUM(D7:D12)</f>
        <v>365000</v>
      </c>
      <c r="E13" s="15">
        <f t="shared" si="9"/>
        <v>867000</v>
      </c>
      <c r="F13" s="15">
        <f t="shared" si="9"/>
        <v>40000</v>
      </c>
      <c r="G13" s="15">
        <f t="shared" si="9"/>
        <v>40000</v>
      </c>
      <c r="H13" s="15">
        <f t="shared" si="9"/>
        <v>295000</v>
      </c>
      <c r="I13" s="15">
        <f t="shared" si="9"/>
        <v>295000</v>
      </c>
      <c r="J13" s="15">
        <f t="shared" si="9"/>
        <v>0</v>
      </c>
      <c r="L13" s="11"/>
    </row>
    <row r="14" spans="1:18" ht="15.75" thickTop="1" x14ac:dyDescent="0.25">
      <c r="A14" s="9"/>
      <c r="B14" s="3"/>
      <c r="C14" s="16"/>
      <c r="D14" s="16"/>
      <c r="E14" s="16"/>
      <c r="F14" s="16"/>
      <c r="G14" s="16"/>
      <c r="H14" s="16"/>
      <c r="I14" s="16"/>
      <c r="J14" s="16"/>
      <c r="L14" s="11" t="s">
        <v>973</v>
      </c>
      <c r="M14" s="17">
        <f>M12-D62</f>
        <v>0</v>
      </c>
      <c r="N14" s="17">
        <f>N12-E62</f>
        <v>0</v>
      </c>
      <c r="O14" s="17">
        <f>O12-F62</f>
        <v>0</v>
      </c>
      <c r="P14" s="17">
        <f>P12-G62</f>
        <v>0</v>
      </c>
      <c r="Q14" s="17">
        <f>Q12-H62</f>
        <v>0</v>
      </c>
      <c r="R14" s="17">
        <f t="shared" ref="R14" si="10">R12-J62</f>
        <v>0</v>
      </c>
    </row>
    <row r="15" spans="1:18" x14ac:dyDescent="0.25">
      <c r="A15" s="9" t="s">
        <v>977</v>
      </c>
      <c r="B15" s="10"/>
      <c r="C15" s="8"/>
      <c r="D15" s="8"/>
      <c r="E15" s="8">
        <v>5000000</v>
      </c>
      <c r="F15" s="8"/>
      <c r="G15" s="8"/>
      <c r="H15" s="8">
        <v>14000000</v>
      </c>
      <c r="I15" s="8"/>
      <c r="J15" s="8"/>
    </row>
    <row r="16" spans="1:18" ht="15.75" thickBot="1" x14ac:dyDescent="0.3">
      <c r="A16" s="13" t="s">
        <v>978</v>
      </c>
      <c r="B16" s="14" t="s">
        <v>341</v>
      </c>
      <c r="C16" s="15">
        <f>SUM(C15)</f>
        <v>0</v>
      </c>
      <c r="D16" s="15">
        <f t="shared" ref="D16:J16" si="11">SUM(D15)</f>
        <v>0</v>
      </c>
      <c r="E16" s="15">
        <f t="shared" si="11"/>
        <v>5000000</v>
      </c>
      <c r="F16" s="15">
        <f t="shared" si="11"/>
        <v>0</v>
      </c>
      <c r="G16" s="15">
        <f t="shared" si="11"/>
        <v>0</v>
      </c>
      <c r="H16" s="15">
        <f t="shared" si="11"/>
        <v>14000000</v>
      </c>
      <c r="I16" s="15">
        <f t="shared" si="11"/>
        <v>0</v>
      </c>
      <c r="J16" s="15">
        <f t="shared" si="11"/>
        <v>0</v>
      </c>
      <c r="L16" s="3" t="s">
        <v>976</v>
      </c>
    </row>
    <row r="17" spans="1:19" ht="15.75" thickTop="1" x14ac:dyDescent="0.25">
      <c r="A17" s="18"/>
      <c r="B17" s="10"/>
      <c r="C17" s="19"/>
      <c r="D17" s="19"/>
      <c r="E17" s="19"/>
      <c r="F17" s="19"/>
      <c r="G17" s="19"/>
      <c r="H17" s="8"/>
      <c r="I17" s="8"/>
      <c r="J17" s="8"/>
      <c r="L17" s="3" t="s">
        <v>341</v>
      </c>
      <c r="P17" s="10">
        <f>SUMIFS('Budget Worksheet'!$J$5:$J$234,'Budget Worksheet'!$B$5:$B$234,'26 Capital Budget'!L17)</f>
        <v>0</v>
      </c>
      <c r="Q17" s="10">
        <f>SUMIFS('Budget Worksheet'!$L$5:$L$234,'Budget Worksheet'!$B$5:$B$234,'26 Capital Budget'!L17)</f>
        <v>14000000</v>
      </c>
    </row>
    <row r="18" spans="1:19" x14ac:dyDescent="0.25">
      <c r="A18" s="7" t="s">
        <v>979</v>
      </c>
      <c r="B18" s="10"/>
      <c r="C18" s="8"/>
      <c r="D18" s="8"/>
      <c r="E18" s="8"/>
      <c r="F18" s="8"/>
      <c r="G18" s="8"/>
      <c r="H18" s="8"/>
      <c r="I18" s="8"/>
      <c r="J18" s="8"/>
      <c r="L18" s="3" t="s">
        <v>343</v>
      </c>
      <c r="P18" s="10">
        <f>SUMIFS('Budget Worksheet'!$J$5:$J$234,'Budget Worksheet'!$B$5:$B$234,'26 Capital Budget'!L18)</f>
        <v>40000</v>
      </c>
      <c r="Q18" s="10">
        <f>SUMIFS('Budget Worksheet'!$L$5:$L$234,'Budget Worksheet'!$B$5:$B$234,'26 Capital Budget'!L18)</f>
        <v>295000</v>
      </c>
    </row>
    <row r="19" spans="1:19" x14ac:dyDescent="0.25">
      <c r="A19" s="9" t="s">
        <v>980</v>
      </c>
      <c r="B19" s="10"/>
      <c r="C19" s="8">
        <v>0</v>
      </c>
      <c r="D19" s="8">
        <v>0</v>
      </c>
      <c r="E19" s="8"/>
      <c r="F19" s="8"/>
      <c r="G19" s="8"/>
      <c r="H19" s="8"/>
      <c r="I19" s="8"/>
      <c r="J19" s="8">
        <v>445000</v>
      </c>
      <c r="L19" s="3" t="s">
        <v>440</v>
      </c>
      <c r="P19" s="10">
        <f>SUMIFS('Budget Worksheet'!$J$5:$J$234,'Budget Worksheet'!$B$5:$B$234,'26 Capital Budget'!L19)</f>
        <v>0</v>
      </c>
      <c r="Q19" s="10">
        <f>SUMIFS('Budget Worksheet'!$L$5:$L$234,'Budget Worksheet'!$B$5:$B$234,'26 Capital Budget'!L19)</f>
        <v>0</v>
      </c>
    </row>
    <row r="20" spans="1:19" x14ac:dyDescent="0.25">
      <c r="A20" s="9" t="s">
        <v>981</v>
      </c>
      <c r="B20" s="10"/>
      <c r="C20" s="8"/>
      <c r="D20" s="8"/>
      <c r="E20" s="8"/>
      <c r="F20" s="8"/>
      <c r="G20" s="8"/>
      <c r="H20" s="8"/>
      <c r="I20" s="8"/>
      <c r="J20" s="8">
        <v>70000</v>
      </c>
      <c r="L20" s="11" t="s">
        <v>672</v>
      </c>
      <c r="P20" s="10">
        <f>SUMIFS('Budget Worksheet'!$J$5:$J$234,'Budget Worksheet'!$B$5:$B$234,'26 Capital Budget'!L20)</f>
        <v>3800000</v>
      </c>
      <c r="Q20" s="10">
        <f>SUMIFS('Budget Worksheet'!$L$5:$L$234,'Budget Worksheet'!$B$5:$B$234,'26 Capital Budget'!L20)</f>
        <v>3905500</v>
      </c>
    </row>
    <row r="21" spans="1:19" ht="15.75" thickBot="1" x14ac:dyDescent="0.3">
      <c r="A21" s="13" t="s">
        <v>978</v>
      </c>
      <c r="B21" s="14" t="s">
        <v>440</v>
      </c>
      <c r="C21" s="15">
        <f t="shared" ref="C21:I21" si="12">SUM(C19:C20)</f>
        <v>0</v>
      </c>
      <c r="D21" s="15">
        <f t="shared" si="12"/>
        <v>0</v>
      </c>
      <c r="E21" s="15">
        <f t="shared" si="12"/>
        <v>0</v>
      </c>
      <c r="F21" s="15">
        <f t="shared" si="12"/>
        <v>0</v>
      </c>
      <c r="G21" s="15">
        <f t="shared" si="12"/>
        <v>0</v>
      </c>
      <c r="H21" s="15">
        <f t="shared" si="12"/>
        <v>0</v>
      </c>
      <c r="I21" s="15">
        <f t="shared" si="12"/>
        <v>0</v>
      </c>
      <c r="J21" s="15">
        <f>SUM(J19:J20)</f>
        <v>515000</v>
      </c>
      <c r="L21" s="11" t="s">
        <v>788</v>
      </c>
      <c r="P21" s="10">
        <f>SUMIFS('Budget Worksheet'!$J$5:$J$234,'Budget Worksheet'!$B$5:$B$234,'26 Capital Budget'!L21)</f>
        <v>5866000</v>
      </c>
      <c r="Q21" s="10">
        <f>SUMIFS('Budget Worksheet'!$L$5:$L$234,'Budget Worksheet'!$B$5:$B$234,'26 Capital Budget'!L21)</f>
        <v>11180500</v>
      </c>
    </row>
    <row r="22" spans="1:19" ht="15.75" thickTop="1" x14ac:dyDescent="0.25">
      <c r="A22" s="18"/>
      <c r="B22" s="10"/>
      <c r="C22" s="19"/>
      <c r="D22" s="19"/>
      <c r="E22" s="19"/>
      <c r="F22" s="19"/>
      <c r="G22" s="19"/>
      <c r="H22" s="8"/>
      <c r="I22" s="8"/>
      <c r="J22" s="8"/>
      <c r="L22" s="11" t="s">
        <v>811</v>
      </c>
      <c r="P22" s="10">
        <f>SUMIFS('Budget Worksheet'!$J$5:$J$234,'Budget Worksheet'!$B$5:$B$234,'26 Capital Budget'!L22)</f>
        <v>0</v>
      </c>
      <c r="Q22" s="10">
        <f>SUMIFS('Budget Worksheet'!$L$5:$L$234,'Budget Worksheet'!$B$5:$B$234,'26 Capital Budget'!L22)</f>
        <v>0</v>
      </c>
    </row>
    <row r="23" spans="1:19" x14ac:dyDescent="0.25">
      <c r="B23" s="10"/>
      <c r="C23" s="8"/>
      <c r="D23" s="8"/>
      <c r="E23" s="8"/>
      <c r="F23" s="8"/>
      <c r="G23" s="8"/>
      <c r="H23" s="8"/>
      <c r="I23" s="8"/>
      <c r="J23" s="8"/>
      <c r="L23" s="11"/>
      <c r="M23" s="120">
        <f t="shared" ref="M23:O23" si="13">SUM(M17:M22)</f>
        <v>0</v>
      </c>
      <c r="N23" s="120">
        <f t="shared" si="13"/>
        <v>0</v>
      </c>
      <c r="O23" s="120">
        <f t="shared" si="13"/>
        <v>0</v>
      </c>
      <c r="P23" s="120">
        <f>SUM(P17:P22)</f>
        <v>9706000</v>
      </c>
      <c r="Q23" s="120">
        <f t="shared" ref="Q23:R23" si="14">SUM(Q17:Q22)</f>
        <v>29381000</v>
      </c>
      <c r="R23" s="120">
        <f t="shared" si="14"/>
        <v>0</v>
      </c>
    </row>
    <row r="24" spans="1:19" x14ac:dyDescent="0.25">
      <c r="A24" s="7" t="s">
        <v>33</v>
      </c>
      <c r="B24" s="10"/>
      <c r="C24" s="8"/>
      <c r="D24" s="8"/>
      <c r="E24" s="8"/>
      <c r="F24" s="8"/>
      <c r="G24" s="8"/>
      <c r="H24" s="8"/>
      <c r="I24" s="8"/>
      <c r="J24" s="8"/>
      <c r="L24" s="11" t="s">
        <v>973</v>
      </c>
      <c r="M24" s="17"/>
      <c r="N24" s="17"/>
      <c r="O24" s="17"/>
      <c r="P24" s="17">
        <f>P12-P23</f>
        <v>0</v>
      </c>
      <c r="Q24" s="17">
        <f>Q12-Q23</f>
        <v>0</v>
      </c>
      <c r="R24" s="17"/>
    </row>
    <row r="25" spans="1:19" x14ac:dyDescent="0.25">
      <c r="A25" s="9" t="s">
        <v>988</v>
      </c>
      <c r="B25" s="10"/>
      <c r="C25" s="8">
        <v>0</v>
      </c>
      <c r="D25" s="8">
        <v>100000</v>
      </c>
      <c r="E25" s="8">
        <v>100000</v>
      </c>
      <c r="F25" s="8">
        <v>100000</v>
      </c>
      <c r="G25" s="8">
        <v>100000</v>
      </c>
      <c r="H25" s="8">
        <v>25000</v>
      </c>
      <c r="I25" s="8"/>
      <c r="J25" s="8">
        <v>0</v>
      </c>
      <c r="K25" s="10"/>
      <c r="L25" s="11"/>
    </row>
    <row r="26" spans="1:19" x14ac:dyDescent="0.25">
      <c r="A26" s="9" t="s">
        <v>989</v>
      </c>
      <c r="B26" s="10"/>
      <c r="C26" s="8"/>
      <c r="D26" s="8">
        <v>50000</v>
      </c>
      <c r="E26" s="20">
        <v>82000</v>
      </c>
      <c r="F26" s="8">
        <v>0</v>
      </c>
      <c r="G26" s="8">
        <v>0</v>
      </c>
      <c r="H26" s="8"/>
      <c r="I26" s="8"/>
      <c r="J26" s="8"/>
      <c r="K26" s="10"/>
      <c r="L26" s="11"/>
    </row>
    <row r="27" spans="1:19" x14ac:dyDescent="0.25">
      <c r="A27" s="9" t="s">
        <v>991</v>
      </c>
      <c r="B27" s="10"/>
      <c r="C27" s="8">
        <v>55000</v>
      </c>
      <c r="D27" s="8">
        <v>0</v>
      </c>
      <c r="E27" s="8"/>
      <c r="F27" s="8"/>
      <c r="G27" s="8"/>
      <c r="H27" s="8"/>
      <c r="I27" s="8"/>
      <c r="J27" s="8"/>
      <c r="K27" s="10"/>
      <c r="L27" s="11"/>
      <c r="M27" s="140" t="s">
        <v>33</v>
      </c>
      <c r="N27" s="140"/>
    </row>
    <row r="28" spans="1:19" x14ac:dyDescent="0.25">
      <c r="A28" s="9" t="s">
        <v>993</v>
      </c>
      <c r="B28" s="10"/>
      <c r="C28" s="8">
        <v>1000000</v>
      </c>
      <c r="D28" s="8"/>
      <c r="E28" s="8"/>
      <c r="F28" s="8"/>
      <c r="G28" s="8"/>
      <c r="H28" s="8"/>
      <c r="I28" s="8"/>
      <c r="J28" s="8"/>
      <c r="K28" s="10"/>
      <c r="L28" s="11"/>
      <c r="M28" s="5" t="s">
        <v>982</v>
      </c>
      <c r="N28" s="5" t="s">
        <v>983</v>
      </c>
      <c r="O28" s="5"/>
      <c r="P28" s="141" t="s">
        <v>984</v>
      </c>
      <c r="Q28" s="5" t="s">
        <v>985</v>
      </c>
      <c r="R28" s="5" t="s">
        <v>986</v>
      </c>
      <c r="S28" s="5" t="s">
        <v>987</v>
      </c>
    </row>
    <row r="29" spans="1:19" x14ac:dyDescent="0.25">
      <c r="A29" s="9" t="s">
        <v>995</v>
      </c>
      <c r="B29" s="10"/>
      <c r="C29" s="8"/>
      <c r="D29" s="21"/>
      <c r="E29" s="21">
        <v>50000</v>
      </c>
      <c r="F29" s="21">
        <f>2000000+2000000-E29-E36-F30</f>
        <v>3750000</v>
      </c>
      <c r="G29" s="20">
        <v>3500000</v>
      </c>
      <c r="H29" s="8">
        <v>3500000</v>
      </c>
      <c r="I29" s="8">
        <v>2000000</v>
      </c>
      <c r="J29" s="8">
        <v>1000000</v>
      </c>
      <c r="K29" s="10"/>
      <c r="L29" s="11"/>
      <c r="M29" s="8">
        <v>3000000</v>
      </c>
      <c r="N29" s="8">
        <v>2000000</v>
      </c>
      <c r="O29" s="8">
        <v>100000</v>
      </c>
      <c r="P29" s="8">
        <f>4000000+462000</f>
        <v>4462000</v>
      </c>
      <c r="Q29" s="8">
        <v>3000000</v>
      </c>
      <c r="R29" s="8">
        <v>1000000</v>
      </c>
      <c r="S29" s="8">
        <v>3551000</v>
      </c>
    </row>
    <row r="30" spans="1:19" x14ac:dyDescent="0.25">
      <c r="A30" s="9" t="s">
        <v>997</v>
      </c>
      <c r="B30" s="10"/>
      <c r="C30" s="8"/>
      <c r="D30" s="8"/>
      <c r="E30" s="8"/>
      <c r="F30" s="8">
        <v>200000</v>
      </c>
      <c r="G30" s="8">
        <v>200000</v>
      </c>
      <c r="H30" s="8"/>
      <c r="I30" s="8"/>
      <c r="J30" s="8"/>
      <c r="K30" s="10"/>
      <c r="L30" s="11" t="s">
        <v>990</v>
      </c>
      <c r="M30" s="21">
        <v>-1200000</v>
      </c>
      <c r="N30" s="8"/>
      <c r="O30" s="8"/>
      <c r="P30" s="8"/>
      <c r="Q30" s="8"/>
      <c r="R30" s="8"/>
    </row>
    <row r="31" spans="1:19" x14ac:dyDescent="0.25">
      <c r="A31" s="9" t="s">
        <v>1001</v>
      </c>
      <c r="B31" s="10"/>
      <c r="C31" s="8"/>
      <c r="D31" s="8"/>
      <c r="E31" s="21">
        <v>250000</v>
      </c>
      <c r="F31" s="8"/>
      <c r="G31" s="8"/>
      <c r="H31" s="8">
        <v>300000</v>
      </c>
      <c r="I31" s="8">
        <v>300000</v>
      </c>
      <c r="J31" s="8"/>
      <c r="K31" s="10"/>
      <c r="L31" s="11" t="s">
        <v>992</v>
      </c>
      <c r="M31" s="21">
        <f>-239000-3700</f>
        <v>-242700</v>
      </c>
      <c r="N31" s="8"/>
      <c r="O31" s="8"/>
      <c r="P31" s="8"/>
      <c r="Q31" s="8"/>
      <c r="R31" s="8"/>
    </row>
    <row r="32" spans="1:19" x14ac:dyDescent="0.25">
      <c r="A32" s="9" t="s">
        <v>1003</v>
      </c>
      <c r="B32" s="10"/>
      <c r="C32" s="8"/>
      <c r="D32" s="8"/>
      <c r="E32" s="8"/>
      <c r="F32" s="8"/>
      <c r="G32" s="8"/>
      <c r="H32" s="8">
        <f>81000/2</f>
        <v>40500</v>
      </c>
      <c r="I32" s="8">
        <f>81000/2</f>
        <v>40500</v>
      </c>
      <c r="J32" s="8"/>
      <c r="K32" s="10"/>
      <c r="L32" s="11" t="s">
        <v>994</v>
      </c>
      <c r="M32" s="142">
        <f>-741749-93000-M33</f>
        <v>-764749</v>
      </c>
      <c r="N32" s="8"/>
      <c r="O32" s="8"/>
      <c r="P32" s="8"/>
      <c r="Q32" s="8"/>
      <c r="R32" s="8"/>
    </row>
    <row r="33" spans="1:19" x14ac:dyDescent="0.25">
      <c r="A33" s="9" t="s">
        <v>1004</v>
      </c>
      <c r="B33" s="10"/>
      <c r="C33" s="8"/>
      <c r="D33" s="8"/>
      <c r="E33" s="8"/>
      <c r="F33" s="8"/>
      <c r="G33" s="8"/>
      <c r="H33" s="8">
        <v>35000</v>
      </c>
      <c r="I33" s="8"/>
      <c r="J33" s="8">
        <v>35000</v>
      </c>
      <c r="K33" s="10"/>
      <c r="L33" s="11" t="s">
        <v>996</v>
      </c>
      <c r="M33" s="143">
        <v>-70000</v>
      </c>
      <c r="N33" s="8"/>
      <c r="O33" s="8"/>
      <c r="P33" s="8"/>
      <c r="Q33" s="8"/>
      <c r="R33" s="8"/>
    </row>
    <row r="34" spans="1:19" x14ac:dyDescent="0.25">
      <c r="A34" s="9" t="s">
        <v>1005</v>
      </c>
      <c r="B34" s="10"/>
      <c r="C34" s="8"/>
      <c r="D34" s="8"/>
      <c r="E34" s="8"/>
      <c r="F34" s="8"/>
      <c r="G34" s="8"/>
      <c r="H34" s="8">
        <v>5000</v>
      </c>
      <c r="I34" s="8"/>
      <c r="J34" s="8">
        <v>5000</v>
      </c>
      <c r="K34" s="10"/>
      <c r="L34" s="11" t="s">
        <v>998</v>
      </c>
      <c r="M34" s="8">
        <v>-400000</v>
      </c>
      <c r="N34" s="8"/>
      <c r="O34" s="8"/>
      <c r="P34" s="8"/>
      <c r="Q34" s="8"/>
      <c r="R34" s="8"/>
    </row>
    <row r="35" spans="1:19" x14ac:dyDescent="0.25">
      <c r="A35" s="9" t="s">
        <v>1007</v>
      </c>
      <c r="B35" s="10"/>
      <c r="C35" s="8"/>
      <c r="D35" s="8"/>
      <c r="E35" s="8"/>
      <c r="F35" s="8"/>
      <c r="G35" s="8"/>
      <c r="H35" s="8"/>
      <c r="I35" s="8"/>
      <c r="J35" s="8">
        <v>40000</v>
      </c>
      <c r="K35" s="10"/>
      <c r="L35" s="11" t="s">
        <v>1000</v>
      </c>
      <c r="M35" s="8">
        <v>-291000</v>
      </c>
      <c r="N35" s="8"/>
      <c r="O35" s="8"/>
      <c r="P35" s="8"/>
      <c r="Q35" s="8"/>
      <c r="R35" s="8"/>
    </row>
    <row r="36" spans="1:19" x14ac:dyDescent="0.25">
      <c r="A36" s="9" t="s">
        <v>1009</v>
      </c>
      <c r="B36" s="10"/>
      <c r="C36" s="8"/>
      <c r="D36" s="8"/>
      <c r="E36" s="8"/>
      <c r="F36" s="8"/>
      <c r="G36" s="8"/>
      <c r="H36" s="8"/>
      <c r="I36" s="8"/>
      <c r="J36" s="8">
        <v>40000</v>
      </c>
      <c r="K36" s="10"/>
      <c r="L36" s="3" t="s">
        <v>1002</v>
      </c>
      <c r="M36" s="8">
        <v>-9000</v>
      </c>
      <c r="N36" s="8"/>
      <c r="O36" s="8"/>
      <c r="P36" s="8"/>
      <c r="Q36" s="8"/>
      <c r="R36" s="8"/>
    </row>
    <row r="37" spans="1:19" x14ac:dyDescent="0.25">
      <c r="A37" s="9" t="s">
        <v>1010</v>
      </c>
      <c r="B37" s="10"/>
      <c r="C37" s="8"/>
      <c r="D37" s="8"/>
      <c r="E37" s="8"/>
      <c r="F37" s="8"/>
      <c r="G37" s="8"/>
      <c r="H37" s="8"/>
      <c r="I37" s="8">
        <v>120000</v>
      </c>
      <c r="J37" s="8"/>
      <c r="K37" s="10"/>
      <c r="M37" s="8"/>
      <c r="N37" s="8"/>
      <c r="O37" s="8"/>
      <c r="P37" s="8"/>
      <c r="Q37" s="8"/>
      <c r="R37" s="8"/>
    </row>
    <row r="38" spans="1:19" ht="15.75" thickBot="1" x14ac:dyDescent="0.3">
      <c r="A38" s="13" t="s">
        <v>978</v>
      </c>
      <c r="B38" s="14" t="s">
        <v>672</v>
      </c>
      <c r="C38" s="15">
        <f t="shared" ref="C38:H38" si="15">SUM(C25:C37)</f>
        <v>1055000</v>
      </c>
      <c r="D38" s="15">
        <f t="shared" si="15"/>
        <v>150000</v>
      </c>
      <c r="E38" s="15">
        <f t="shared" si="15"/>
        <v>482000</v>
      </c>
      <c r="F38" s="15">
        <f>SUM(F25:F37)</f>
        <v>4050000</v>
      </c>
      <c r="G38" s="15">
        <f t="shared" si="15"/>
        <v>3800000</v>
      </c>
      <c r="H38" s="15">
        <f t="shared" si="15"/>
        <v>3905500</v>
      </c>
      <c r="I38" s="15">
        <f>SUM(I25:I37)</f>
        <v>2460500</v>
      </c>
      <c r="J38" s="15">
        <f>SUM(J25:J37)</f>
        <v>1120000</v>
      </c>
      <c r="L38" s="11"/>
      <c r="M38" s="8"/>
      <c r="N38" s="8"/>
      <c r="O38" s="8"/>
      <c r="P38" s="8"/>
      <c r="Q38" s="8"/>
      <c r="R38" s="8"/>
    </row>
    <row r="39" spans="1:19" ht="15.75" thickTop="1" x14ac:dyDescent="0.25">
      <c r="A39" s="18"/>
      <c r="B39" s="10"/>
      <c r="C39" s="19"/>
      <c r="D39" s="19"/>
      <c r="E39" s="19"/>
      <c r="F39" s="19"/>
      <c r="G39" s="19"/>
      <c r="H39" s="8"/>
      <c r="I39" s="8"/>
      <c r="J39" s="8"/>
      <c r="L39" s="11" t="s">
        <v>1006</v>
      </c>
      <c r="M39" s="8"/>
      <c r="N39" s="8"/>
      <c r="O39" s="8">
        <v>-100000</v>
      </c>
      <c r="P39" s="8"/>
      <c r="Q39" s="8"/>
      <c r="R39" s="8"/>
    </row>
    <row r="40" spans="1:19" x14ac:dyDescent="0.25">
      <c r="B40" s="10"/>
      <c r="C40" s="8"/>
      <c r="D40" s="8"/>
      <c r="E40" s="8"/>
      <c r="F40" s="8"/>
      <c r="G40" s="8"/>
      <c r="H40" s="8"/>
      <c r="I40" s="8"/>
      <c r="J40" s="8"/>
      <c r="L40" s="11" t="s">
        <v>1008</v>
      </c>
      <c r="M40" s="8"/>
      <c r="N40" s="8">
        <v>-2000000</v>
      </c>
      <c r="O40" s="8"/>
      <c r="P40" s="8"/>
      <c r="Q40" s="8"/>
      <c r="R40" s="8"/>
    </row>
    <row r="41" spans="1:19" x14ac:dyDescent="0.25">
      <c r="A41" s="7" t="s">
        <v>34</v>
      </c>
      <c r="B41" s="10"/>
      <c r="C41" s="8"/>
      <c r="D41" s="8"/>
      <c r="E41" s="8"/>
      <c r="F41" s="8"/>
      <c r="G41" s="8"/>
      <c r="H41" s="8"/>
      <c r="I41" s="8"/>
      <c r="J41" s="8"/>
      <c r="L41" s="11"/>
      <c r="M41" s="8"/>
      <c r="N41" s="8"/>
      <c r="O41" s="8"/>
      <c r="P41" s="8"/>
      <c r="Q41" s="8"/>
      <c r="R41" s="8"/>
    </row>
    <row r="42" spans="1:19" x14ac:dyDescent="0.25">
      <c r="A42" s="9" t="s">
        <v>1015</v>
      </c>
      <c r="B42" s="10"/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/>
      <c r="J42" s="8">
        <v>0</v>
      </c>
      <c r="L42" s="11" t="s">
        <v>1011</v>
      </c>
      <c r="M42" s="8"/>
      <c r="N42" s="8"/>
      <c r="O42" s="8"/>
      <c r="P42" s="8">
        <v>-750000</v>
      </c>
      <c r="Q42" s="8"/>
      <c r="R42" s="8"/>
    </row>
    <row r="43" spans="1:19" x14ac:dyDescent="0.25">
      <c r="A43" s="9" t="s">
        <v>1016</v>
      </c>
      <c r="B43" s="22"/>
      <c r="C43" s="23">
        <f>SUM(C44:C46)</f>
        <v>234000</v>
      </c>
      <c r="D43" s="23">
        <f>SUM(D44:D46)</f>
        <v>3766000</v>
      </c>
      <c r="E43" s="23">
        <f>SUM(E44:E46)</f>
        <v>3766000</v>
      </c>
      <c r="F43" s="23">
        <f>SUM(F44:F46)</f>
        <v>5183000</v>
      </c>
      <c r="G43" s="23">
        <f>SUM(G44:G46)</f>
        <v>5766000</v>
      </c>
      <c r="H43" s="139">
        <v>11000000</v>
      </c>
      <c r="I43" s="139">
        <v>7500000</v>
      </c>
      <c r="J43" s="23">
        <v>3500000</v>
      </c>
      <c r="L43" s="11" t="s">
        <v>1012</v>
      </c>
      <c r="M43" s="8"/>
      <c r="N43" s="8"/>
      <c r="O43" s="8"/>
      <c r="P43" s="8">
        <v>-400000</v>
      </c>
      <c r="Q43" s="8"/>
      <c r="R43" s="8"/>
    </row>
    <row r="44" spans="1:19" x14ac:dyDescent="0.25">
      <c r="A44" s="24" t="s">
        <v>1017</v>
      </c>
      <c r="B44" s="25"/>
      <c r="C44" s="26">
        <f>164000+70000</f>
        <v>234000</v>
      </c>
      <c r="D44" s="26">
        <f>4000000-C44</f>
        <v>3766000</v>
      </c>
      <c r="E44" s="26">
        <f>4000000-C44</f>
        <v>3766000</v>
      </c>
      <c r="F44" s="26">
        <f>4949000+2000000-E44</f>
        <v>3183000</v>
      </c>
      <c r="G44" s="26">
        <f>4949000+2000000-F44</f>
        <v>3766000</v>
      </c>
      <c r="H44" s="26">
        <v>0</v>
      </c>
      <c r="I44" s="26"/>
      <c r="J44" s="26">
        <v>0</v>
      </c>
      <c r="L44" s="11" t="s">
        <v>1013</v>
      </c>
      <c r="M44" s="8"/>
      <c r="N44" s="8"/>
      <c r="O44" s="8"/>
      <c r="P44" s="8">
        <f>-2850000-462000</f>
        <v>-3312000</v>
      </c>
      <c r="Q44" s="8">
        <v>-3000000</v>
      </c>
      <c r="R44" s="8">
        <f>-1000000-R45</f>
        <v>-900000</v>
      </c>
      <c r="S44" s="8">
        <f>-10500000-R44-Q44-P44</f>
        <v>-3288000</v>
      </c>
    </row>
    <row r="45" spans="1:19" x14ac:dyDescent="0.25">
      <c r="A45" s="24" t="s">
        <v>1018</v>
      </c>
      <c r="B45" s="25"/>
      <c r="C45" s="27"/>
      <c r="D45" s="27"/>
      <c r="E45" s="27"/>
      <c r="F45" s="27">
        <v>2000000</v>
      </c>
      <c r="G45" s="27">
        <v>2000000</v>
      </c>
      <c r="H45" s="27">
        <v>0</v>
      </c>
      <c r="I45" s="27"/>
      <c r="J45" s="27">
        <v>0</v>
      </c>
      <c r="L45" s="11" t="s">
        <v>1014</v>
      </c>
      <c r="M45" s="8"/>
      <c r="N45" s="8"/>
      <c r="O45" s="8"/>
      <c r="P45" s="8"/>
      <c r="Q45" s="8"/>
      <c r="R45" s="8">
        <v>-100000</v>
      </c>
    </row>
    <row r="46" spans="1:19" ht="15.75" thickBot="1" x14ac:dyDescent="0.3">
      <c r="A46" s="28"/>
      <c r="B46" s="10"/>
      <c r="C46" s="8"/>
      <c r="D46" s="8"/>
      <c r="E46" s="8"/>
      <c r="F46" s="8"/>
      <c r="G46" s="27"/>
      <c r="H46" s="27"/>
      <c r="I46" s="27"/>
      <c r="J46" s="27"/>
      <c r="L46" s="11"/>
      <c r="M46" s="12">
        <f t="shared" ref="M46:S46" si="16">SUM(M29:M45)</f>
        <v>22551</v>
      </c>
      <c r="N46" s="12">
        <f t="shared" si="16"/>
        <v>0</v>
      </c>
      <c r="O46" s="12">
        <f t="shared" si="16"/>
        <v>0</v>
      </c>
      <c r="P46" s="12">
        <f t="shared" si="16"/>
        <v>0</v>
      </c>
      <c r="Q46" s="12">
        <f t="shared" si="16"/>
        <v>0</v>
      </c>
      <c r="R46" s="12">
        <f t="shared" si="16"/>
        <v>0</v>
      </c>
      <c r="S46" s="12">
        <f t="shared" si="16"/>
        <v>263000</v>
      </c>
    </row>
    <row r="47" spans="1:19" ht="15.75" thickTop="1" x14ac:dyDescent="0.25">
      <c r="A47" s="9" t="s">
        <v>1019</v>
      </c>
      <c r="B47" s="10"/>
      <c r="C47" s="8"/>
      <c r="D47" s="8"/>
      <c r="E47" s="8"/>
      <c r="F47" s="8"/>
      <c r="G47" s="8"/>
      <c r="H47" s="8"/>
      <c r="I47" s="8"/>
      <c r="J47" s="8"/>
      <c r="L47" s="11"/>
    </row>
    <row r="48" spans="1:19" x14ac:dyDescent="0.25">
      <c r="A48" s="9" t="s">
        <v>1003</v>
      </c>
      <c r="B48" s="10"/>
      <c r="C48" s="8"/>
      <c r="D48" s="8"/>
      <c r="E48" s="8"/>
      <c r="F48" s="8"/>
      <c r="G48" s="8"/>
      <c r="H48" s="8">
        <f>81000/2</f>
        <v>40500</v>
      </c>
      <c r="I48" s="8"/>
      <c r="J48" s="8"/>
      <c r="L48" s="11"/>
    </row>
    <row r="49" spans="1:12" x14ac:dyDescent="0.25">
      <c r="A49" s="9" t="s">
        <v>1004</v>
      </c>
      <c r="B49" s="10"/>
      <c r="C49" s="8"/>
      <c r="D49" s="8"/>
      <c r="E49" s="8"/>
      <c r="F49" s="8"/>
      <c r="G49" s="8"/>
      <c r="H49" s="8">
        <v>35000</v>
      </c>
      <c r="I49" s="8"/>
      <c r="J49" s="8">
        <v>35000</v>
      </c>
      <c r="L49" s="11"/>
    </row>
    <row r="50" spans="1:12" x14ac:dyDescent="0.25">
      <c r="A50" s="9" t="s">
        <v>1005</v>
      </c>
      <c r="B50" s="10"/>
      <c r="C50" s="8"/>
      <c r="D50" s="8"/>
      <c r="E50" s="8"/>
      <c r="F50" s="8"/>
      <c r="G50" s="8"/>
      <c r="H50" s="8">
        <v>5000</v>
      </c>
      <c r="I50" s="8"/>
      <c r="J50" s="8">
        <v>5000</v>
      </c>
      <c r="L50" s="11"/>
    </row>
    <row r="51" spans="1:12" x14ac:dyDescent="0.25">
      <c r="A51" s="9" t="s">
        <v>1007</v>
      </c>
      <c r="B51" s="10"/>
      <c r="C51" s="8"/>
      <c r="D51" s="8"/>
      <c r="E51" s="8"/>
      <c r="F51" s="8"/>
      <c r="G51" s="8"/>
      <c r="H51" s="8"/>
      <c r="I51" s="8"/>
      <c r="J51" s="8">
        <v>40000</v>
      </c>
      <c r="L51" s="11"/>
    </row>
    <row r="52" spans="1:12" x14ac:dyDescent="0.25">
      <c r="A52" s="9" t="s">
        <v>1009</v>
      </c>
      <c r="B52" s="10"/>
      <c r="C52" s="8"/>
      <c r="D52" s="8"/>
      <c r="E52" s="8"/>
      <c r="F52" s="8"/>
      <c r="G52" s="8"/>
      <c r="H52" s="8"/>
      <c r="I52" s="8"/>
      <c r="J52" s="8">
        <v>40000</v>
      </c>
      <c r="L52" s="11"/>
    </row>
    <row r="53" spans="1:12" x14ac:dyDescent="0.25">
      <c r="A53" s="9" t="s">
        <v>1020</v>
      </c>
      <c r="B53" s="10"/>
      <c r="C53" s="8"/>
      <c r="D53" s="8"/>
      <c r="E53" s="8"/>
      <c r="F53" s="8"/>
      <c r="G53" s="8">
        <v>100000</v>
      </c>
      <c r="H53" s="8">
        <v>100000</v>
      </c>
      <c r="I53" s="8"/>
      <c r="J53" s="8"/>
      <c r="L53" s="11"/>
    </row>
    <row r="54" spans="1:12" x14ac:dyDescent="0.25">
      <c r="A54" s="9"/>
      <c r="B54" s="10"/>
      <c r="C54" s="8"/>
      <c r="D54" s="8"/>
      <c r="E54" s="8"/>
      <c r="F54" s="8"/>
      <c r="G54" s="8"/>
      <c r="H54" s="8"/>
      <c r="I54" s="8"/>
      <c r="J54" s="8"/>
      <c r="L54" s="11"/>
    </row>
    <row r="55" spans="1:12" ht="15.75" thickBot="1" x14ac:dyDescent="0.3">
      <c r="A55" s="13" t="s">
        <v>978</v>
      </c>
      <c r="B55" s="14" t="s">
        <v>788</v>
      </c>
      <c r="C55" s="15">
        <f t="shared" ref="C55:H55" si="17">SUM(C42:C43,C46:C54)</f>
        <v>234000</v>
      </c>
      <c r="D55" s="15">
        <f t="shared" si="17"/>
        <v>3766000</v>
      </c>
      <c r="E55" s="15">
        <f t="shared" si="17"/>
        <v>3766000</v>
      </c>
      <c r="F55" s="15">
        <f t="shared" si="17"/>
        <v>5183000</v>
      </c>
      <c r="G55" s="15">
        <f t="shared" si="17"/>
        <v>5866000</v>
      </c>
      <c r="H55" s="15">
        <f t="shared" si="17"/>
        <v>11180500</v>
      </c>
      <c r="I55" s="15">
        <f>SUM(I42:I43,I46:I54)</f>
        <v>7500000</v>
      </c>
      <c r="J55" s="15">
        <f>SUM(J42:J43,J46:J54)</f>
        <v>3620000</v>
      </c>
      <c r="L55" s="11"/>
    </row>
    <row r="56" spans="1:12" ht="15.75" thickTop="1" x14ac:dyDescent="0.25">
      <c r="A56" s="18"/>
      <c r="B56" s="10"/>
      <c r="C56" s="19"/>
      <c r="D56" s="19"/>
      <c r="E56" s="19"/>
      <c r="F56" s="19"/>
      <c r="G56" s="19"/>
      <c r="H56" s="8"/>
      <c r="I56" s="8"/>
      <c r="J56" s="8"/>
      <c r="L56" s="11"/>
    </row>
    <row r="57" spans="1:12" x14ac:dyDescent="0.25">
      <c r="A57" s="7" t="s">
        <v>40</v>
      </c>
      <c r="B57" s="10"/>
      <c r="C57" s="8"/>
      <c r="D57" s="8"/>
      <c r="E57" s="8"/>
      <c r="F57" s="8"/>
      <c r="G57" s="8"/>
      <c r="H57" s="8"/>
      <c r="I57" s="8"/>
      <c r="J57" s="8"/>
      <c r="L57" s="11"/>
    </row>
    <row r="58" spans="1:12" x14ac:dyDescent="0.25">
      <c r="A58" s="9" t="s">
        <v>1021</v>
      </c>
      <c r="B58" s="10"/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/>
      <c r="J58" s="8">
        <v>0</v>
      </c>
      <c r="L58" s="11"/>
    </row>
    <row r="59" spans="1:12" x14ac:dyDescent="0.25">
      <c r="A59" s="9"/>
      <c r="B59" s="10"/>
      <c r="C59" s="8"/>
      <c r="D59" s="8"/>
      <c r="E59" s="8"/>
      <c r="F59" s="8"/>
      <c r="G59" s="8"/>
      <c r="H59" s="8"/>
      <c r="I59" s="8"/>
      <c r="J59" s="8"/>
      <c r="L59" s="11"/>
    </row>
    <row r="60" spans="1:12" ht="15.75" thickBot="1" x14ac:dyDescent="0.3">
      <c r="A60" s="13" t="s">
        <v>978</v>
      </c>
      <c r="B60" s="14" t="s">
        <v>811</v>
      </c>
      <c r="C60" s="15">
        <f t="shared" ref="C60:J60" si="18">SUM(C58:C59)</f>
        <v>0</v>
      </c>
      <c r="D60" s="15">
        <f t="shared" si="18"/>
        <v>0</v>
      </c>
      <c r="E60" s="15">
        <f t="shared" si="18"/>
        <v>0</v>
      </c>
      <c r="F60" s="15">
        <f t="shared" si="18"/>
        <v>0</v>
      </c>
      <c r="G60" s="15">
        <f t="shared" si="18"/>
        <v>0</v>
      </c>
      <c r="H60" s="15">
        <f t="shared" si="18"/>
        <v>0</v>
      </c>
      <c r="I60" s="15">
        <f t="shared" ref="I60" si="19">SUM(I58:I59)</f>
        <v>0</v>
      </c>
      <c r="J60" s="15">
        <f t="shared" si="18"/>
        <v>0</v>
      </c>
      <c r="L60" s="11"/>
    </row>
    <row r="61" spans="1:12" ht="15.75" thickTop="1" x14ac:dyDescent="0.25">
      <c r="B61" s="10"/>
      <c r="C61" s="8"/>
      <c r="D61" s="8"/>
      <c r="E61" s="8"/>
      <c r="F61" s="8"/>
      <c r="G61" s="8"/>
      <c r="H61" s="8"/>
      <c r="I61" s="8"/>
      <c r="J61" s="8"/>
      <c r="L61" s="11"/>
    </row>
    <row r="62" spans="1:12" ht="15.75" thickBot="1" x14ac:dyDescent="0.3">
      <c r="A62" s="29" t="s">
        <v>1022</v>
      </c>
      <c r="B62" s="14"/>
      <c r="C62" s="15">
        <f t="shared" ref="C62:J62" si="20">SUM(C60,C55,C38,C21,C16,C13)</f>
        <v>1289000</v>
      </c>
      <c r="D62" s="15">
        <f t="shared" si="20"/>
        <v>4281000</v>
      </c>
      <c r="E62" s="15">
        <f t="shared" si="20"/>
        <v>10115000</v>
      </c>
      <c r="F62" s="15">
        <f t="shared" si="20"/>
        <v>9273000</v>
      </c>
      <c r="G62" s="15">
        <f t="shared" si="20"/>
        <v>9706000</v>
      </c>
      <c r="H62" s="15">
        <f t="shared" si="20"/>
        <v>29381000</v>
      </c>
      <c r="I62" s="15">
        <f t="shared" ref="I62" si="21">SUM(I60,I55,I38,I21,I16,I13)</f>
        <v>10255500</v>
      </c>
      <c r="J62" s="15">
        <f t="shared" si="20"/>
        <v>5255000</v>
      </c>
    </row>
    <row r="63" spans="1:12" ht="15.75" thickTop="1" x14ac:dyDescent="0.25">
      <c r="C63" s="8"/>
      <c r="D63" s="8"/>
      <c r="E63" s="8"/>
      <c r="F63" s="8"/>
      <c r="G63" s="8"/>
      <c r="H63" s="8"/>
      <c r="I63" s="8"/>
      <c r="J63" s="8"/>
    </row>
    <row r="64" spans="1:12" x14ac:dyDescent="0.25">
      <c r="C64" s="8"/>
      <c r="D64" s="8"/>
      <c r="E64" s="8"/>
      <c r="F64" s="8"/>
      <c r="G64" s="8"/>
      <c r="H64" s="8"/>
      <c r="I64" s="8"/>
      <c r="J64" s="8"/>
    </row>
  </sheetData>
  <pageMargins left="0.7" right="0.7" top="0.75" bottom="0.75" header="0.3" footer="0.3"/>
  <pageSetup scale="6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2B49-0645-40A7-BA4F-9918284EF4A9}">
  <sheetPr>
    <tabColor theme="8" tint="0.59999389629810485"/>
    <pageSetUpPr fitToPage="1"/>
  </sheetPr>
  <dimension ref="A1:R63"/>
  <sheetViews>
    <sheetView zoomScale="85" zoomScaleNormal="85" workbookViewId="0">
      <pane xSplit="1" ySplit="4" topLeftCell="B5" activePane="bottomRight" state="frozen"/>
      <selection pane="topRight" activeCell="B5" sqref="B5"/>
      <selection pane="bottomLeft" activeCell="B5" sqref="B5"/>
      <selection pane="bottomRight" activeCell="B5" sqref="B5"/>
    </sheetView>
  </sheetViews>
  <sheetFormatPr defaultRowHeight="15" x14ac:dyDescent="0.25"/>
  <cols>
    <col min="1" max="1" width="24.85546875" style="1" customWidth="1"/>
    <col min="2" max="2" width="11" style="1" bestFit="1" customWidth="1"/>
    <col min="3" max="6" width="12.28515625" style="1" customWidth="1"/>
    <col min="7" max="7" width="13.85546875" style="1" bestFit="1" customWidth="1"/>
    <col min="8" max="9" width="12.28515625" style="1" customWidth="1"/>
    <col min="10" max="10" width="11.140625" style="1" bestFit="1" customWidth="1"/>
    <col min="11" max="11" width="22.140625" style="3" bestFit="1" customWidth="1"/>
    <col min="12" max="12" width="13.85546875" style="1" customWidth="1"/>
    <col min="13" max="13" width="14.5703125" style="1" bestFit="1" customWidth="1"/>
    <col min="14" max="15" width="15.140625" style="1" bestFit="1" customWidth="1"/>
    <col min="16" max="16" width="15.85546875" style="1" customWidth="1"/>
    <col min="17" max="17" width="13.85546875" style="1" customWidth="1"/>
    <col min="18" max="18" width="15.85546875" style="1" bestFit="1" customWidth="1"/>
    <col min="19" max="16384" width="9.140625" style="1"/>
  </cols>
  <sheetData>
    <row r="1" spans="1:17" x14ac:dyDescent="0.25">
      <c r="A1" s="1" t="s">
        <v>825</v>
      </c>
      <c r="C1" s="2">
        <f t="shared" ref="C1:I1" si="0">C13+C16+C21+C37+C54</f>
        <v>1289000</v>
      </c>
      <c r="D1" s="2">
        <f t="shared" si="0"/>
        <v>4281000</v>
      </c>
      <c r="E1" s="2">
        <f t="shared" si="0"/>
        <v>10115000</v>
      </c>
      <c r="F1" s="2">
        <f t="shared" si="0"/>
        <v>9273000</v>
      </c>
      <c r="G1" s="2">
        <f t="shared" si="0"/>
        <v>9706000</v>
      </c>
      <c r="H1" s="2">
        <f t="shared" si="0"/>
        <v>29381000</v>
      </c>
      <c r="I1" s="133">
        <f t="shared" si="0"/>
        <v>104000</v>
      </c>
    </row>
    <row r="2" spans="1:17" x14ac:dyDescent="0.25">
      <c r="A2" s="1" t="s">
        <v>953</v>
      </c>
    </row>
    <row r="4" spans="1:17" x14ac:dyDescent="0.25">
      <c r="A4" s="4" t="s">
        <v>954</v>
      </c>
      <c r="B4" s="5" t="s">
        <v>44</v>
      </c>
      <c r="C4" s="5" t="s">
        <v>955</v>
      </c>
      <c r="D4" s="5" t="s">
        <v>956</v>
      </c>
      <c r="E4" s="5" t="s">
        <v>957</v>
      </c>
      <c r="F4" s="5" t="s">
        <v>958</v>
      </c>
      <c r="G4" s="5" t="s">
        <v>959</v>
      </c>
      <c r="H4" s="5" t="s">
        <v>960</v>
      </c>
      <c r="I4" s="5" t="s">
        <v>962</v>
      </c>
      <c r="L4" s="6" t="str">
        <f t="shared" ref="L4:Q4" si="1">D4</f>
        <v>FY23</v>
      </c>
      <c r="M4" s="6" t="str">
        <f t="shared" si="1"/>
        <v>FY23 Amended</v>
      </c>
      <c r="N4" s="6" t="str">
        <f t="shared" si="1"/>
        <v>FY24</v>
      </c>
      <c r="O4" s="6" t="str">
        <f t="shared" si="1"/>
        <v>FY24 Amended</v>
      </c>
      <c r="P4" s="6" t="str">
        <f t="shared" si="1"/>
        <v>FY25</v>
      </c>
      <c r="Q4" s="6" t="str">
        <f t="shared" si="1"/>
        <v>FY26</v>
      </c>
    </row>
    <row r="5" spans="1:17" x14ac:dyDescent="0.25">
      <c r="B5" s="6"/>
      <c r="C5" s="6"/>
      <c r="D5" s="6"/>
      <c r="E5" s="6"/>
      <c r="F5" s="6"/>
      <c r="G5" s="6"/>
    </row>
    <row r="6" spans="1:17" x14ac:dyDescent="0.25">
      <c r="A6" s="7" t="s">
        <v>32</v>
      </c>
      <c r="K6" s="3" t="s">
        <v>341</v>
      </c>
      <c r="L6" s="8">
        <f t="shared" ref="L6:Q6" si="2">D16</f>
        <v>0</v>
      </c>
      <c r="M6" s="8">
        <f t="shared" si="2"/>
        <v>5000000</v>
      </c>
      <c r="N6" s="8">
        <f t="shared" si="2"/>
        <v>0</v>
      </c>
      <c r="O6" s="8">
        <f t="shared" si="2"/>
        <v>0</v>
      </c>
      <c r="P6" s="8">
        <f t="shared" si="2"/>
        <v>14000000</v>
      </c>
      <c r="Q6" s="8">
        <f t="shared" si="2"/>
        <v>0</v>
      </c>
    </row>
    <row r="7" spans="1:17" x14ac:dyDescent="0.25">
      <c r="A7" s="9" t="s">
        <v>965</v>
      </c>
      <c r="B7" s="10"/>
      <c r="C7" s="8">
        <v>0</v>
      </c>
      <c r="D7" s="8">
        <v>295000</v>
      </c>
      <c r="E7" s="8">
        <v>412000</v>
      </c>
      <c r="F7" s="8">
        <v>0</v>
      </c>
      <c r="G7" s="8">
        <v>0</v>
      </c>
      <c r="H7" s="8"/>
      <c r="I7" s="8"/>
      <c r="K7" s="3" t="s">
        <v>343</v>
      </c>
      <c r="L7" s="8">
        <f>D13</f>
        <v>365000</v>
      </c>
      <c r="M7" s="8">
        <f t="shared" ref="M7:Q7" si="3">E13</f>
        <v>867000</v>
      </c>
      <c r="N7" s="8">
        <f t="shared" si="3"/>
        <v>40000</v>
      </c>
      <c r="O7" s="8">
        <f t="shared" si="3"/>
        <v>40000</v>
      </c>
      <c r="P7" s="8">
        <f t="shared" si="3"/>
        <v>295000</v>
      </c>
      <c r="Q7" s="8">
        <f t="shared" si="3"/>
        <v>0</v>
      </c>
    </row>
    <row r="8" spans="1:17" x14ac:dyDescent="0.25">
      <c r="A8" s="9" t="s">
        <v>966</v>
      </c>
      <c r="B8" s="10"/>
      <c r="C8" s="8"/>
      <c r="D8" s="8"/>
      <c r="E8" s="8">
        <v>285000</v>
      </c>
      <c r="F8" s="8"/>
      <c r="G8" s="8"/>
      <c r="H8" s="8"/>
      <c r="I8" s="8"/>
      <c r="K8" s="3" t="s">
        <v>440</v>
      </c>
      <c r="L8" s="8">
        <f t="shared" ref="L8:Q8" si="4">D21</f>
        <v>0</v>
      </c>
      <c r="M8" s="8">
        <f t="shared" si="4"/>
        <v>0</v>
      </c>
      <c r="N8" s="8">
        <f t="shared" si="4"/>
        <v>0</v>
      </c>
      <c r="O8" s="8">
        <f t="shared" si="4"/>
        <v>0</v>
      </c>
      <c r="P8" s="8">
        <f t="shared" si="4"/>
        <v>0</v>
      </c>
      <c r="Q8" s="8">
        <f t="shared" si="4"/>
        <v>0</v>
      </c>
    </row>
    <row r="9" spans="1:17" x14ac:dyDescent="0.25">
      <c r="A9" s="9" t="s">
        <v>967</v>
      </c>
      <c r="B9" s="10"/>
      <c r="C9" s="8"/>
      <c r="D9" s="8"/>
      <c r="E9" s="8"/>
      <c r="F9" s="8"/>
      <c r="G9" s="8"/>
      <c r="H9" s="8">
        <v>295000</v>
      </c>
      <c r="I9" s="8"/>
      <c r="K9" s="11" t="s">
        <v>672</v>
      </c>
      <c r="L9" s="8">
        <f t="shared" ref="L9:Q9" si="5">D37</f>
        <v>150000</v>
      </c>
      <c r="M9" s="8">
        <f t="shared" si="5"/>
        <v>482000</v>
      </c>
      <c r="N9" s="8">
        <f t="shared" si="5"/>
        <v>4050000</v>
      </c>
      <c r="O9" s="8">
        <f t="shared" si="5"/>
        <v>3800000</v>
      </c>
      <c r="P9" s="8">
        <f t="shared" si="5"/>
        <v>3905500</v>
      </c>
      <c r="Q9" s="8">
        <f t="shared" si="5"/>
        <v>52000</v>
      </c>
    </row>
    <row r="10" spans="1:17" x14ac:dyDescent="0.25">
      <c r="A10" s="9" t="s">
        <v>968</v>
      </c>
      <c r="B10" s="10"/>
      <c r="C10" s="8">
        <v>0</v>
      </c>
      <c r="D10" s="8">
        <v>0</v>
      </c>
      <c r="E10" s="8">
        <v>0</v>
      </c>
      <c r="F10" s="8"/>
      <c r="G10" s="8"/>
      <c r="H10" s="8"/>
      <c r="I10" s="8"/>
      <c r="K10" s="11" t="s">
        <v>788</v>
      </c>
      <c r="L10" s="8">
        <f t="shared" ref="L10:Q10" si="6">D54</f>
        <v>3766000</v>
      </c>
      <c r="M10" s="8">
        <f t="shared" si="6"/>
        <v>3766000</v>
      </c>
      <c r="N10" s="8">
        <f t="shared" si="6"/>
        <v>5183000</v>
      </c>
      <c r="O10" s="8">
        <f t="shared" si="6"/>
        <v>5866000</v>
      </c>
      <c r="P10" s="8">
        <f>H54</f>
        <v>11180500</v>
      </c>
      <c r="Q10" s="8">
        <f t="shared" si="6"/>
        <v>52000</v>
      </c>
    </row>
    <row r="11" spans="1:17" x14ac:dyDescent="0.25">
      <c r="A11" s="9" t="s">
        <v>974</v>
      </c>
      <c r="B11" s="10"/>
      <c r="C11" s="8">
        <v>0</v>
      </c>
      <c r="D11" s="8">
        <v>70000</v>
      </c>
      <c r="E11" s="8">
        <v>70000</v>
      </c>
      <c r="F11" s="8">
        <v>40000</v>
      </c>
      <c r="G11" s="8">
        <v>40000</v>
      </c>
      <c r="H11" s="8"/>
      <c r="I11" s="8"/>
      <c r="K11" s="11" t="s">
        <v>811</v>
      </c>
      <c r="L11" s="8">
        <f t="shared" ref="L11:Q11" si="7">D59</f>
        <v>0</v>
      </c>
      <c r="M11" s="8">
        <f t="shared" si="7"/>
        <v>0</v>
      </c>
      <c r="N11" s="8">
        <f t="shared" si="7"/>
        <v>0</v>
      </c>
      <c r="O11" s="8">
        <f t="shared" si="7"/>
        <v>0</v>
      </c>
      <c r="P11" s="8">
        <f t="shared" si="7"/>
        <v>0</v>
      </c>
      <c r="Q11" s="8">
        <f t="shared" si="7"/>
        <v>50000</v>
      </c>
    </row>
    <row r="12" spans="1:17" ht="15.75" thickBot="1" x14ac:dyDescent="0.3">
      <c r="A12" s="9" t="s">
        <v>975</v>
      </c>
      <c r="B12" s="10"/>
      <c r="C12" s="8"/>
      <c r="D12" s="8"/>
      <c r="E12" s="8">
        <v>100000</v>
      </c>
      <c r="F12" s="8">
        <v>0</v>
      </c>
      <c r="G12" s="8">
        <v>0</v>
      </c>
      <c r="H12" s="8"/>
      <c r="I12" s="8"/>
      <c r="K12" s="11"/>
      <c r="L12" s="12">
        <f t="shared" ref="L12:Q12" si="8">SUM(L6:L11)</f>
        <v>4281000</v>
      </c>
      <c r="M12" s="12">
        <f t="shared" si="8"/>
        <v>10115000</v>
      </c>
      <c r="N12" s="12">
        <f t="shared" si="8"/>
        <v>9273000</v>
      </c>
      <c r="O12" s="12">
        <f t="shared" si="8"/>
        <v>9706000</v>
      </c>
      <c r="P12" s="12">
        <f t="shared" si="8"/>
        <v>29381000</v>
      </c>
      <c r="Q12" s="12">
        <f t="shared" si="8"/>
        <v>154000</v>
      </c>
    </row>
    <row r="13" spans="1:17" ht="16.5" thickTop="1" thickBot="1" x14ac:dyDescent="0.3">
      <c r="A13" s="13" t="s">
        <v>344</v>
      </c>
      <c r="B13" s="14" t="s">
        <v>343</v>
      </c>
      <c r="C13" s="15">
        <f>SUM(C7:C12)</f>
        <v>0</v>
      </c>
      <c r="D13" s="15">
        <f t="shared" ref="D13:I13" si="9">SUM(D7:D12)</f>
        <v>365000</v>
      </c>
      <c r="E13" s="15">
        <f t="shared" si="9"/>
        <v>867000</v>
      </c>
      <c r="F13" s="15">
        <f t="shared" si="9"/>
        <v>40000</v>
      </c>
      <c r="G13" s="15">
        <f t="shared" si="9"/>
        <v>40000</v>
      </c>
      <c r="H13" s="15">
        <f t="shared" si="9"/>
        <v>295000</v>
      </c>
      <c r="I13" s="15">
        <f t="shared" si="9"/>
        <v>0</v>
      </c>
      <c r="K13" s="11"/>
    </row>
    <row r="14" spans="1:17" ht="15.75" thickTop="1" x14ac:dyDescent="0.25">
      <c r="A14" s="9"/>
      <c r="B14" s="3"/>
      <c r="C14" s="16"/>
      <c r="D14" s="16"/>
      <c r="E14" s="16"/>
      <c r="F14" s="16"/>
      <c r="G14" s="16"/>
      <c r="H14" s="16"/>
      <c r="I14" s="16"/>
      <c r="K14" s="11" t="s">
        <v>973</v>
      </c>
      <c r="L14" s="17">
        <f t="shared" ref="L14:Q14" si="10">L12-D61</f>
        <v>0</v>
      </c>
      <c r="M14" s="17">
        <f t="shared" si="10"/>
        <v>0</v>
      </c>
      <c r="N14" s="17">
        <f t="shared" si="10"/>
        <v>0</v>
      </c>
      <c r="O14" s="17">
        <f t="shared" si="10"/>
        <v>0</v>
      </c>
      <c r="P14" s="17">
        <f t="shared" si="10"/>
        <v>0</v>
      </c>
      <c r="Q14" s="17">
        <f t="shared" si="10"/>
        <v>0</v>
      </c>
    </row>
    <row r="15" spans="1:17" x14ac:dyDescent="0.25">
      <c r="A15" s="9" t="s">
        <v>977</v>
      </c>
      <c r="B15" s="10"/>
      <c r="C15" s="8"/>
      <c r="D15" s="8"/>
      <c r="E15" s="8">
        <v>5000000</v>
      </c>
      <c r="F15" s="8"/>
      <c r="G15" s="8"/>
      <c r="H15" s="8">
        <v>14000000</v>
      </c>
      <c r="I15" s="8"/>
    </row>
    <row r="16" spans="1:17" ht="15.75" thickBot="1" x14ac:dyDescent="0.3">
      <c r="A16" s="13" t="s">
        <v>978</v>
      </c>
      <c r="B16" s="14" t="s">
        <v>341</v>
      </c>
      <c r="C16" s="15">
        <f>SUM(C15)</f>
        <v>0</v>
      </c>
      <c r="D16" s="15">
        <f t="shared" ref="D16:I16" si="11">SUM(D15)</f>
        <v>0</v>
      </c>
      <c r="E16" s="15">
        <f t="shared" si="11"/>
        <v>5000000</v>
      </c>
      <c r="F16" s="15">
        <f t="shared" si="11"/>
        <v>0</v>
      </c>
      <c r="G16" s="15">
        <f t="shared" si="11"/>
        <v>0</v>
      </c>
      <c r="H16" s="15">
        <f t="shared" si="11"/>
        <v>14000000</v>
      </c>
      <c r="I16" s="15">
        <f t="shared" si="11"/>
        <v>0</v>
      </c>
      <c r="K16" s="3" t="s">
        <v>976</v>
      </c>
    </row>
    <row r="17" spans="1:18" ht="15.75" thickTop="1" x14ac:dyDescent="0.25">
      <c r="A17" s="18"/>
      <c r="B17" s="10"/>
      <c r="C17" s="19"/>
      <c r="D17" s="19"/>
      <c r="E17" s="19"/>
      <c r="F17" s="19"/>
      <c r="G17" s="19"/>
      <c r="H17" s="8"/>
      <c r="I17" s="8"/>
      <c r="K17" s="3" t="s">
        <v>341</v>
      </c>
      <c r="O17" s="10">
        <f>SUMIFS('Budget Worksheet'!$J$5:$J$234,'Budget Worksheet'!$B$5:$B$234,'25 Capital Budget'!K17)</f>
        <v>0</v>
      </c>
      <c r="P17" s="10">
        <f>SUMIFS('Budget Worksheet'!$L$5:$L$234,'Budget Worksheet'!$B$5:$B$234,'25 Capital Budget'!K17)</f>
        <v>14000000</v>
      </c>
    </row>
    <row r="18" spans="1:18" x14ac:dyDescent="0.25">
      <c r="A18" s="7" t="s">
        <v>979</v>
      </c>
      <c r="B18" s="10"/>
      <c r="C18" s="8"/>
      <c r="D18" s="8"/>
      <c r="E18" s="8"/>
      <c r="F18" s="8"/>
      <c r="G18" s="8"/>
      <c r="H18" s="8"/>
      <c r="I18" s="8"/>
      <c r="K18" s="3" t="s">
        <v>343</v>
      </c>
      <c r="O18" s="10">
        <f>SUMIFS('Budget Worksheet'!$J$5:$J$234,'Budget Worksheet'!$B$5:$B$234,'25 Capital Budget'!K18)</f>
        <v>40000</v>
      </c>
      <c r="P18" s="10">
        <f>SUMIFS('Budget Worksheet'!$L$5:$L$234,'Budget Worksheet'!$B$5:$B$234,'25 Capital Budget'!K18)</f>
        <v>295000</v>
      </c>
    </row>
    <row r="19" spans="1:18" x14ac:dyDescent="0.25">
      <c r="A19" s="9" t="s">
        <v>980</v>
      </c>
      <c r="B19" s="10"/>
      <c r="C19" s="8">
        <v>0</v>
      </c>
      <c r="D19" s="8">
        <v>0</v>
      </c>
      <c r="E19" s="8"/>
      <c r="F19" s="8"/>
      <c r="G19" s="8"/>
      <c r="H19" s="8"/>
      <c r="I19" s="8"/>
      <c r="K19" s="3" t="s">
        <v>440</v>
      </c>
      <c r="O19" s="10">
        <f>SUMIFS('Budget Worksheet'!$J$5:$J$234,'Budget Worksheet'!$B$5:$B$234,'25 Capital Budget'!K19)</f>
        <v>0</v>
      </c>
      <c r="P19" s="10">
        <f>SUMIFS('Budget Worksheet'!$L$5:$L$234,'Budget Worksheet'!$B$5:$B$234,'25 Capital Budget'!K19)</f>
        <v>0</v>
      </c>
    </row>
    <row r="20" spans="1:18" x14ac:dyDescent="0.25">
      <c r="A20" s="9"/>
      <c r="B20" s="10"/>
      <c r="C20" s="8"/>
      <c r="D20" s="8"/>
      <c r="E20" s="8"/>
      <c r="F20" s="8"/>
      <c r="G20" s="8"/>
      <c r="H20" s="8"/>
      <c r="I20" s="8"/>
      <c r="K20" s="11" t="s">
        <v>672</v>
      </c>
      <c r="O20" s="10">
        <f>SUMIFS('Budget Worksheet'!$J$5:$J$234,'Budget Worksheet'!$B$5:$B$234,'25 Capital Budget'!K20)</f>
        <v>3800000</v>
      </c>
      <c r="P20" s="10">
        <f>SUMIFS('Budget Worksheet'!$L$5:$L$234,'Budget Worksheet'!$B$5:$B$234,'25 Capital Budget'!K20)</f>
        <v>3905500</v>
      </c>
    </row>
    <row r="21" spans="1:18" ht="15.75" thickBot="1" x14ac:dyDescent="0.3">
      <c r="A21" s="13" t="s">
        <v>978</v>
      </c>
      <c r="B21" s="14" t="s">
        <v>440</v>
      </c>
      <c r="C21" s="15">
        <f t="shared" ref="C21:I21" si="12">SUM(C19:C20)</f>
        <v>0</v>
      </c>
      <c r="D21" s="15">
        <f t="shared" si="12"/>
        <v>0</v>
      </c>
      <c r="E21" s="15">
        <f t="shared" si="12"/>
        <v>0</v>
      </c>
      <c r="F21" s="15">
        <f t="shared" si="12"/>
        <v>0</v>
      </c>
      <c r="G21" s="15">
        <f t="shared" si="12"/>
        <v>0</v>
      </c>
      <c r="H21" s="15">
        <f t="shared" si="12"/>
        <v>0</v>
      </c>
      <c r="I21" s="15">
        <f t="shared" si="12"/>
        <v>0</v>
      </c>
      <c r="K21" s="11" t="s">
        <v>788</v>
      </c>
      <c r="O21" s="10">
        <f>SUMIFS('Budget Worksheet'!$J$5:$J$234,'Budget Worksheet'!$B$5:$B$234,'25 Capital Budget'!K21)</f>
        <v>5866000</v>
      </c>
      <c r="P21" s="10">
        <f>SUMIFS('Budget Worksheet'!$L$5:$L$234,'Budget Worksheet'!$B$5:$B$234,'25 Capital Budget'!K21)</f>
        <v>11180500</v>
      </c>
    </row>
    <row r="22" spans="1:18" ht="15.75" thickTop="1" x14ac:dyDescent="0.25">
      <c r="A22" s="18"/>
      <c r="B22" s="10"/>
      <c r="C22" s="19"/>
      <c r="D22" s="19"/>
      <c r="E22" s="19"/>
      <c r="F22" s="19"/>
      <c r="G22" s="19"/>
      <c r="H22" s="8"/>
      <c r="I22" s="8"/>
      <c r="K22" s="11" t="s">
        <v>811</v>
      </c>
      <c r="O22" s="10">
        <f>SUMIFS('Budget Worksheet'!$J$5:$J$234,'Budget Worksheet'!$B$5:$B$234,'25 Capital Budget'!K22)</f>
        <v>0</v>
      </c>
      <c r="P22" s="10">
        <f>SUMIFS('Budget Worksheet'!$L$5:$L$234,'Budget Worksheet'!$B$5:$B$234,'25 Capital Budget'!K22)</f>
        <v>0</v>
      </c>
    </row>
    <row r="23" spans="1:18" x14ac:dyDescent="0.25">
      <c r="B23" s="10"/>
      <c r="C23" s="8"/>
      <c r="D23" s="8"/>
      <c r="E23" s="8"/>
      <c r="F23" s="8"/>
      <c r="G23" s="8"/>
      <c r="H23" s="8"/>
      <c r="I23" s="8"/>
      <c r="K23" s="11"/>
      <c r="L23" s="120">
        <f t="shared" ref="L23:N23" si="13">SUM(L17:L22)</f>
        <v>0</v>
      </c>
      <c r="M23" s="120">
        <f t="shared" si="13"/>
        <v>0</v>
      </c>
      <c r="N23" s="120">
        <f t="shared" si="13"/>
        <v>0</v>
      </c>
      <c r="O23" s="120">
        <f>SUM(O17:O22)</f>
        <v>9706000</v>
      </c>
      <c r="P23" s="120">
        <f t="shared" ref="P23:Q23" si="14">SUM(P17:P22)</f>
        <v>29381000</v>
      </c>
      <c r="Q23" s="120">
        <f t="shared" si="14"/>
        <v>0</v>
      </c>
    </row>
    <row r="24" spans="1:18" x14ac:dyDescent="0.25">
      <c r="A24" s="7" t="s">
        <v>33</v>
      </c>
      <c r="B24" s="10"/>
      <c r="C24" s="8"/>
      <c r="D24" s="8"/>
      <c r="E24" s="8"/>
      <c r="F24" s="8"/>
      <c r="G24" s="8"/>
      <c r="H24" s="8"/>
      <c r="I24" s="8"/>
      <c r="K24" s="11" t="s">
        <v>973</v>
      </c>
      <c r="L24" s="17"/>
      <c r="M24" s="17"/>
      <c r="N24" s="17"/>
      <c r="O24" s="17">
        <f>O12-O23</f>
        <v>0</v>
      </c>
      <c r="P24" s="17">
        <f>P12-P23</f>
        <v>0</v>
      </c>
      <c r="Q24" s="17"/>
    </row>
    <row r="25" spans="1:18" x14ac:dyDescent="0.25">
      <c r="A25" s="9" t="s">
        <v>988</v>
      </c>
      <c r="B25" s="10"/>
      <c r="C25" s="8">
        <v>0</v>
      </c>
      <c r="D25" s="8">
        <v>100000</v>
      </c>
      <c r="E25" s="8">
        <v>100000</v>
      </c>
      <c r="F25" s="8">
        <v>100000</v>
      </c>
      <c r="G25" s="8">
        <v>100000</v>
      </c>
      <c r="H25" s="8">
        <v>25000</v>
      </c>
      <c r="I25" s="8">
        <v>0</v>
      </c>
      <c r="J25" s="10"/>
      <c r="K25" s="11"/>
    </row>
    <row r="26" spans="1:18" x14ac:dyDescent="0.25">
      <c r="A26" s="9" t="s">
        <v>989</v>
      </c>
      <c r="B26" s="10"/>
      <c r="C26" s="8"/>
      <c r="D26" s="8">
        <v>50000</v>
      </c>
      <c r="E26" s="20">
        <v>82000</v>
      </c>
      <c r="F26" s="8">
        <v>0</v>
      </c>
      <c r="G26" s="8">
        <v>0</v>
      </c>
      <c r="H26" s="8"/>
      <c r="I26" s="8"/>
      <c r="J26" s="10"/>
      <c r="K26" s="11"/>
    </row>
    <row r="27" spans="1:18" x14ac:dyDescent="0.25">
      <c r="A27" s="9" t="s">
        <v>991</v>
      </c>
      <c r="B27" s="10"/>
      <c r="C27" s="8">
        <v>55000</v>
      </c>
      <c r="D27" s="8">
        <v>0</v>
      </c>
      <c r="E27" s="8"/>
      <c r="F27" s="8"/>
      <c r="G27" s="8"/>
      <c r="H27" s="8"/>
      <c r="I27" s="8"/>
      <c r="J27" s="10"/>
      <c r="K27" s="11"/>
      <c r="L27" s="140" t="s">
        <v>33</v>
      </c>
      <c r="M27" s="140"/>
    </row>
    <row r="28" spans="1:18" x14ac:dyDescent="0.25">
      <c r="A28" s="9" t="s">
        <v>993</v>
      </c>
      <c r="B28" s="10"/>
      <c r="C28" s="8">
        <v>1000000</v>
      </c>
      <c r="D28" s="8"/>
      <c r="E28" s="8"/>
      <c r="F28" s="8"/>
      <c r="G28" s="8"/>
      <c r="H28" s="8"/>
      <c r="I28" s="8"/>
      <c r="J28" s="10"/>
      <c r="K28" s="11"/>
      <c r="L28" s="5" t="s">
        <v>982</v>
      </c>
      <c r="M28" s="5" t="s">
        <v>983</v>
      </c>
      <c r="N28" s="5"/>
      <c r="O28" s="141" t="s">
        <v>984</v>
      </c>
      <c r="P28" s="5" t="s">
        <v>985</v>
      </c>
      <c r="Q28" s="5" t="s">
        <v>986</v>
      </c>
      <c r="R28" s="5" t="s">
        <v>987</v>
      </c>
    </row>
    <row r="29" spans="1:18" x14ac:dyDescent="0.25">
      <c r="A29" s="9" t="s">
        <v>995</v>
      </c>
      <c r="B29" s="10"/>
      <c r="C29" s="8"/>
      <c r="D29" s="21"/>
      <c r="E29" s="21">
        <v>50000</v>
      </c>
      <c r="F29" s="21">
        <f>2000000+2000000-E29-E36-F30</f>
        <v>3750000</v>
      </c>
      <c r="G29" s="20">
        <v>3500000</v>
      </c>
      <c r="H29" s="8">
        <v>3500000</v>
      </c>
      <c r="I29" s="8"/>
      <c r="J29" s="10"/>
      <c r="K29" s="11"/>
      <c r="L29" s="8">
        <v>3000000</v>
      </c>
      <c r="M29" s="8">
        <v>2000000</v>
      </c>
      <c r="N29" s="8">
        <v>100000</v>
      </c>
      <c r="O29" s="8">
        <f>4000000+462000</f>
        <v>4462000</v>
      </c>
      <c r="P29" s="8">
        <v>3000000</v>
      </c>
      <c r="Q29" s="8">
        <v>1000000</v>
      </c>
      <c r="R29" s="8">
        <v>3551000</v>
      </c>
    </row>
    <row r="30" spans="1:18" x14ac:dyDescent="0.25">
      <c r="A30" s="9" t="s">
        <v>997</v>
      </c>
      <c r="B30" s="10"/>
      <c r="C30" s="8"/>
      <c r="D30" s="8"/>
      <c r="E30" s="8"/>
      <c r="F30" s="8">
        <v>200000</v>
      </c>
      <c r="G30" s="8">
        <v>200000</v>
      </c>
      <c r="H30" s="8"/>
      <c r="I30" s="8"/>
      <c r="J30" s="10"/>
      <c r="K30" s="11" t="s">
        <v>990</v>
      </c>
      <c r="L30" s="21">
        <v>-1200000</v>
      </c>
      <c r="M30" s="8"/>
      <c r="N30" s="8"/>
      <c r="O30" s="8"/>
      <c r="P30" s="8"/>
      <c r="Q30" s="8"/>
    </row>
    <row r="31" spans="1:18" x14ac:dyDescent="0.25">
      <c r="A31" s="9" t="s">
        <v>1001</v>
      </c>
      <c r="B31" s="10"/>
      <c r="C31" s="8"/>
      <c r="D31" s="8"/>
      <c r="E31" s="21">
        <v>250000</v>
      </c>
      <c r="F31" s="8"/>
      <c r="G31" s="8"/>
      <c r="H31" s="8">
        <v>300000</v>
      </c>
      <c r="I31" s="8"/>
      <c r="J31" s="10"/>
      <c r="K31" s="11" t="s">
        <v>992</v>
      </c>
      <c r="L31" s="21">
        <f>-239000-3700</f>
        <v>-242700</v>
      </c>
      <c r="M31" s="8"/>
      <c r="N31" s="8"/>
      <c r="O31" s="8"/>
      <c r="P31" s="8"/>
      <c r="Q31" s="8"/>
    </row>
    <row r="32" spans="1:18" x14ac:dyDescent="0.25">
      <c r="A32" s="9" t="s">
        <v>1003</v>
      </c>
      <c r="B32" s="10"/>
      <c r="C32" s="8"/>
      <c r="D32" s="8"/>
      <c r="E32" s="8"/>
      <c r="F32" s="8"/>
      <c r="G32" s="8"/>
      <c r="H32" s="8">
        <f>81000/2</f>
        <v>40500</v>
      </c>
      <c r="I32" s="8"/>
      <c r="J32" s="10"/>
      <c r="K32" s="11" t="s">
        <v>994</v>
      </c>
      <c r="L32" s="142">
        <f>-741749-93000-L33</f>
        <v>-764749</v>
      </c>
      <c r="M32" s="8"/>
      <c r="N32" s="8"/>
      <c r="O32" s="8"/>
      <c r="P32" s="8"/>
      <c r="Q32" s="8"/>
    </row>
    <row r="33" spans="1:18" x14ac:dyDescent="0.25">
      <c r="A33" s="9" t="s">
        <v>1004</v>
      </c>
      <c r="B33" s="10"/>
      <c r="C33" s="8"/>
      <c r="D33" s="8"/>
      <c r="E33" s="8"/>
      <c r="F33" s="8"/>
      <c r="G33" s="8"/>
      <c r="H33" s="8">
        <v>35000</v>
      </c>
      <c r="I33" s="8"/>
      <c r="J33" s="10"/>
      <c r="K33" s="11" t="s">
        <v>996</v>
      </c>
      <c r="L33" s="143">
        <v>-70000</v>
      </c>
      <c r="M33" s="8"/>
      <c r="N33" s="8"/>
      <c r="O33" s="8"/>
      <c r="P33" s="8"/>
      <c r="Q33" s="8"/>
    </row>
    <row r="34" spans="1:18" x14ac:dyDescent="0.25">
      <c r="A34" s="9" t="s">
        <v>1005</v>
      </c>
      <c r="B34" s="10"/>
      <c r="C34" s="8"/>
      <c r="D34" s="8"/>
      <c r="E34" s="8"/>
      <c r="F34" s="8"/>
      <c r="G34" s="8"/>
      <c r="H34" s="8">
        <v>5000</v>
      </c>
      <c r="I34" s="8"/>
      <c r="J34" s="10"/>
      <c r="K34" s="11" t="s">
        <v>998</v>
      </c>
      <c r="L34" s="8">
        <v>-400000</v>
      </c>
      <c r="M34" s="8"/>
      <c r="N34" s="8"/>
      <c r="O34" s="8"/>
      <c r="P34" s="8"/>
      <c r="Q34" s="8"/>
    </row>
    <row r="35" spans="1:18" x14ac:dyDescent="0.25">
      <c r="A35" s="9" t="s">
        <v>1007</v>
      </c>
      <c r="B35" s="10"/>
      <c r="C35" s="8"/>
      <c r="D35" s="8"/>
      <c r="E35" s="8"/>
      <c r="F35" s="8"/>
      <c r="G35" s="8"/>
      <c r="H35" s="8"/>
      <c r="I35" s="8">
        <v>25000</v>
      </c>
      <c r="J35" s="10"/>
      <c r="K35" s="11" t="s">
        <v>1000</v>
      </c>
      <c r="L35" s="8">
        <v>-291000</v>
      </c>
      <c r="M35" s="8"/>
      <c r="N35" s="8"/>
      <c r="O35" s="8"/>
      <c r="P35" s="8"/>
      <c r="Q35" s="8"/>
    </row>
    <row r="36" spans="1:18" x14ac:dyDescent="0.25">
      <c r="A36" s="9" t="s">
        <v>1009</v>
      </c>
      <c r="B36" s="10"/>
      <c r="C36" s="8"/>
      <c r="D36" s="8"/>
      <c r="E36" s="8"/>
      <c r="F36" s="8"/>
      <c r="G36" s="8"/>
      <c r="H36" s="8"/>
      <c r="I36" s="8">
        <v>27000</v>
      </c>
      <c r="J36" s="10"/>
      <c r="K36" s="3" t="s">
        <v>1002</v>
      </c>
      <c r="L36" s="8">
        <v>-9000</v>
      </c>
      <c r="M36" s="8"/>
      <c r="N36" s="8"/>
      <c r="O36" s="8"/>
      <c r="P36" s="8"/>
      <c r="Q36" s="8"/>
    </row>
    <row r="37" spans="1:18" ht="15.75" thickBot="1" x14ac:dyDescent="0.3">
      <c r="A37" s="13" t="s">
        <v>978</v>
      </c>
      <c r="B37" s="14" t="s">
        <v>672</v>
      </c>
      <c r="C37" s="15">
        <f>SUM(C25:C36)</f>
        <v>1055000</v>
      </c>
      <c r="D37" s="15">
        <f>SUM(D25:D36)</f>
        <v>150000</v>
      </c>
      <c r="E37" s="15">
        <f>SUM(E25:E36)</f>
        <v>482000</v>
      </c>
      <c r="F37" s="15">
        <f>SUM(F25:F36)</f>
        <v>4050000</v>
      </c>
      <c r="G37" s="15">
        <f>SUM(G25:G31)</f>
        <v>3800000</v>
      </c>
      <c r="H37" s="15">
        <f>SUM(H25:H36)</f>
        <v>3905500</v>
      </c>
      <c r="I37" s="15">
        <f>SUM(I25:I36)</f>
        <v>52000</v>
      </c>
      <c r="K37" s="11"/>
      <c r="L37" s="8"/>
      <c r="M37" s="8"/>
      <c r="N37" s="8"/>
      <c r="O37" s="8"/>
      <c r="P37" s="8"/>
      <c r="Q37" s="8"/>
    </row>
    <row r="38" spans="1:18" ht="15.75" thickTop="1" x14ac:dyDescent="0.25">
      <c r="A38" s="18"/>
      <c r="B38" s="10"/>
      <c r="C38" s="19"/>
      <c r="D38" s="19"/>
      <c r="E38" s="19"/>
      <c r="F38" s="19"/>
      <c r="G38" s="19"/>
      <c r="H38" s="8"/>
      <c r="I38" s="8"/>
      <c r="K38" s="11" t="s">
        <v>1006</v>
      </c>
      <c r="L38" s="8"/>
      <c r="M38" s="8"/>
      <c r="N38" s="8">
        <v>-100000</v>
      </c>
      <c r="O38" s="8"/>
      <c r="P38" s="8"/>
      <c r="Q38" s="8"/>
    </row>
    <row r="39" spans="1:18" x14ac:dyDescent="0.25">
      <c r="B39" s="10"/>
      <c r="C39" s="8"/>
      <c r="D39" s="8"/>
      <c r="E39" s="8"/>
      <c r="F39" s="8"/>
      <c r="G39" s="8"/>
      <c r="H39" s="8"/>
      <c r="I39" s="8"/>
      <c r="K39" s="11" t="s">
        <v>1008</v>
      </c>
      <c r="L39" s="8"/>
      <c r="M39" s="8">
        <v>-2000000</v>
      </c>
      <c r="N39" s="8"/>
      <c r="O39" s="8"/>
      <c r="P39" s="8"/>
      <c r="Q39" s="8"/>
    </row>
    <row r="40" spans="1:18" x14ac:dyDescent="0.25">
      <c r="A40" s="7" t="s">
        <v>34</v>
      </c>
      <c r="B40" s="10"/>
      <c r="C40" s="8"/>
      <c r="D40" s="8"/>
      <c r="E40" s="8"/>
      <c r="F40" s="8"/>
      <c r="G40" s="8"/>
      <c r="H40" s="8"/>
      <c r="I40" s="8"/>
      <c r="K40" s="11"/>
      <c r="L40" s="8"/>
      <c r="M40" s="8"/>
      <c r="N40" s="8"/>
      <c r="O40" s="8"/>
      <c r="P40" s="8"/>
      <c r="Q40" s="8"/>
    </row>
    <row r="41" spans="1:18" x14ac:dyDescent="0.25">
      <c r="A41" s="9" t="s">
        <v>1015</v>
      </c>
      <c r="B41" s="10"/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K41" s="11" t="s">
        <v>1011</v>
      </c>
      <c r="L41" s="8"/>
      <c r="M41" s="8"/>
      <c r="N41" s="8"/>
      <c r="O41" s="8">
        <v>-750000</v>
      </c>
      <c r="P41" s="8"/>
      <c r="Q41" s="8"/>
    </row>
    <row r="42" spans="1:18" x14ac:dyDescent="0.25">
      <c r="A42" s="9" t="s">
        <v>1016</v>
      </c>
      <c r="B42" s="22"/>
      <c r="C42" s="23">
        <f>SUM(C43:C45)</f>
        <v>234000</v>
      </c>
      <c r="D42" s="23">
        <f>SUM(D43:D45)</f>
        <v>3766000</v>
      </c>
      <c r="E42" s="23">
        <f>SUM(E43:E45)</f>
        <v>3766000</v>
      </c>
      <c r="F42" s="23">
        <f>SUM(F43:F45)</f>
        <v>5183000</v>
      </c>
      <c r="G42" s="23">
        <f>SUM(G43:G45)</f>
        <v>5766000</v>
      </c>
      <c r="H42" s="139">
        <v>11000000</v>
      </c>
      <c r="I42" s="23">
        <f>SUM(I43:I45)</f>
        <v>0</v>
      </c>
      <c r="K42" s="11" t="s">
        <v>1012</v>
      </c>
      <c r="L42" s="8"/>
      <c r="M42" s="8"/>
      <c r="N42" s="8"/>
      <c r="O42" s="8">
        <v>-400000</v>
      </c>
      <c r="P42" s="8"/>
      <c r="Q42" s="8"/>
    </row>
    <row r="43" spans="1:18" x14ac:dyDescent="0.25">
      <c r="A43" s="24" t="s">
        <v>1017</v>
      </c>
      <c r="B43" s="25"/>
      <c r="C43" s="26">
        <f>164000+70000</f>
        <v>234000</v>
      </c>
      <c r="D43" s="26">
        <f>4000000-C43</f>
        <v>3766000</v>
      </c>
      <c r="E43" s="26">
        <f>4000000-C43</f>
        <v>3766000</v>
      </c>
      <c r="F43" s="26">
        <f>4949000+2000000-E43</f>
        <v>3183000</v>
      </c>
      <c r="G43" s="26">
        <f>4949000+2000000-F43</f>
        <v>3766000</v>
      </c>
      <c r="H43" s="26">
        <v>0</v>
      </c>
      <c r="I43" s="26">
        <v>0</v>
      </c>
      <c r="K43" s="11" t="s">
        <v>1013</v>
      </c>
      <c r="L43" s="8"/>
      <c r="M43" s="8"/>
      <c r="N43" s="8"/>
      <c r="O43" s="8">
        <f>-2850000-462000</f>
        <v>-3312000</v>
      </c>
      <c r="P43" s="8">
        <v>-3000000</v>
      </c>
      <c r="Q43" s="8">
        <f>-1000000-Q44</f>
        <v>-900000</v>
      </c>
      <c r="R43" s="8">
        <f>-10500000-Q43-P43-O43</f>
        <v>-3288000</v>
      </c>
    </row>
    <row r="44" spans="1:18" x14ac:dyDescent="0.25">
      <c r="A44" s="24" t="s">
        <v>1018</v>
      </c>
      <c r="B44" s="25"/>
      <c r="C44" s="27"/>
      <c r="D44" s="27"/>
      <c r="E44" s="27"/>
      <c r="F44" s="27">
        <v>2000000</v>
      </c>
      <c r="G44" s="27">
        <v>2000000</v>
      </c>
      <c r="H44" s="27">
        <v>0</v>
      </c>
      <c r="I44" s="27">
        <v>0</v>
      </c>
      <c r="K44" s="11" t="s">
        <v>1014</v>
      </c>
      <c r="L44" s="8"/>
      <c r="M44" s="8"/>
      <c r="N44" s="8"/>
      <c r="O44" s="8"/>
      <c r="P44" s="8"/>
      <c r="Q44" s="8">
        <v>-100000</v>
      </c>
    </row>
    <row r="45" spans="1:18" ht="15.75" thickBot="1" x14ac:dyDescent="0.3">
      <c r="A45" s="28"/>
      <c r="B45" s="10"/>
      <c r="C45" s="8"/>
      <c r="D45" s="8"/>
      <c r="E45" s="8"/>
      <c r="F45" s="8"/>
      <c r="G45" s="27"/>
      <c r="H45" s="27"/>
      <c r="I45" s="27"/>
      <c r="K45" s="11"/>
      <c r="L45" s="12">
        <f t="shared" ref="L45:R45" si="15">SUM(L29:L44)</f>
        <v>22551</v>
      </c>
      <c r="M45" s="12">
        <f t="shared" si="15"/>
        <v>0</v>
      </c>
      <c r="N45" s="12">
        <f t="shared" si="15"/>
        <v>0</v>
      </c>
      <c r="O45" s="12">
        <f t="shared" si="15"/>
        <v>0</v>
      </c>
      <c r="P45" s="12">
        <f t="shared" si="15"/>
        <v>0</v>
      </c>
      <c r="Q45" s="12">
        <f t="shared" si="15"/>
        <v>0</v>
      </c>
      <c r="R45" s="12">
        <f t="shared" si="15"/>
        <v>263000</v>
      </c>
    </row>
    <row r="46" spans="1:18" ht="15.75" thickTop="1" x14ac:dyDescent="0.25">
      <c r="A46" s="9" t="s">
        <v>1019</v>
      </c>
      <c r="B46" s="10"/>
      <c r="C46" s="8"/>
      <c r="D46" s="8"/>
      <c r="E46" s="8"/>
      <c r="F46" s="8"/>
      <c r="G46" s="8"/>
      <c r="H46" s="8"/>
      <c r="I46" s="8"/>
      <c r="K46" s="11"/>
    </row>
    <row r="47" spans="1:18" x14ac:dyDescent="0.25">
      <c r="A47" s="9" t="s">
        <v>1003</v>
      </c>
      <c r="B47" s="10"/>
      <c r="C47" s="8"/>
      <c r="D47" s="8"/>
      <c r="E47" s="8"/>
      <c r="F47" s="8"/>
      <c r="G47" s="8"/>
      <c r="H47" s="8">
        <f>81000/2</f>
        <v>40500</v>
      </c>
      <c r="I47" s="8"/>
      <c r="K47" s="11"/>
    </row>
    <row r="48" spans="1:18" x14ac:dyDescent="0.25">
      <c r="A48" s="9" t="s">
        <v>1004</v>
      </c>
      <c r="B48" s="10"/>
      <c r="C48" s="8"/>
      <c r="D48" s="8"/>
      <c r="E48" s="8"/>
      <c r="F48" s="8"/>
      <c r="G48" s="8"/>
      <c r="H48" s="8">
        <v>35000</v>
      </c>
      <c r="I48" s="8"/>
      <c r="K48" s="11"/>
    </row>
    <row r="49" spans="1:11" x14ac:dyDescent="0.25">
      <c r="A49" s="9" t="s">
        <v>1005</v>
      </c>
      <c r="B49" s="10"/>
      <c r="C49" s="8"/>
      <c r="D49" s="8"/>
      <c r="E49" s="8"/>
      <c r="F49" s="8"/>
      <c r="G49" s="8"/>
      <c r="H49" s="8">
        <v>5000</v>
      </c>
      <c r="I49" s="8"/>
      <c r="K49" s="11"/>
    </row>
    <row r="50" spans="1:11" x14ac:dyDescent="0.25">
      <c r="A50" s="9" t="s">
        <v>1007</v>
      </c>
      <c r="B50" s="10"/>
      <c r="C50" s="8"/>
      <c r="D50" s="8"/>
      <c r="E50" s="8"/>
      <c r="F50" s="8"/>
      <c r="G50" s="8"/>
      <c r="H50" s="8"/>
      <c r="I50" s="8">
        <v>25000</v>
      </c>
      <c r="K50" s="11"/>
    </row>
    <row r="51" spans="1:11" x14ac:dyDescent="0.25">
      <c r="A51" s="9" t="s">
        <v>1009</v>
      </c>
      <c r="B51" s="10"/>
      <c r="C51" s="8"/>
      <c r="D51" s="8"/>
      <c r="E51" s="8"/>
      <c r="F51" s="8"/>
      <c r="G51" s="8"/>
      <c r="H51" s="8"/>
      <c r="I51" s="8">
        <v>27000</v>
      </c>
      <c r="K51" s="11"/>
    </row>
    <row r="52" spans="1:11" x14ac:dyDescent="0.25">
      <c r="A52" s="9" t="s">
        <v>1020</v>
      </c>
      <c r="B52" s="10"/>
      <c r="C52" s="8"/>
      <c r="D52" s="8"/>
      <c r="E52" s="8"/>
      <c r="F52" s="8"/>
      <c r="G52" s="8">
        <v>100000</v>
      </c>
      <c r="H52" s="8">
        <v>100000</v>
      </c>
      <c r="I52" s="8"/>
      <c r="K52" s="11"/>
    </row>
    <row r="53" spans="1:11" x14ac:dyDescent="0.25">
      <c r="A53" s="9"/>
      <c r="B53" s="10"/>
      <c r="C53" s="8"/>
      <c r="D53" s="8"/>
      <c r="E53" s="8"/>
      <c r="F53" s="8"/>
      <c r="G53" s="8"/>
      <c r="H53" s="8"/>
      <c r="I53" s="8"/>
      <c r="K53" s="11"/>
    </row>
    <row r="54" spans="1:11" ht="15.75" thickBot="1" x14ac:dyDescent="0.3">
      <c r="A54" s="13" t="s">
        <v>978</v>
      </c>
      <c r="B54" s="14" t="s">
        <v>788</v>
      </c>
      <c r="C54" s="15">
        <f t="shared" ref="C54:H54" si="16">SUM(C41:C42,C45:C53)</f>
        <v>234000</v>
      </c>
      <c r="D54" s="15">
        <f t="shared" si="16"/>
        <v>3766000</v>
      </c>
      <c r="E54" s="15">
        <f t="shared" si="16"/>
        <v>3766000</v>
      </c>
      <c r="F54" s="15">
        <f t="shared" si="16"/>
        <v>5183000</v>
      </c>
      <c r="G54" s="15">
        <f t="shared" si="16"/>
        <v>5866000</v>
      </c>
      <c r="H54" s="15">
        <f t="shared" si="16"/>
        <v>11180500</v>
      </c>
      <c r="I54" s="15">
        <f>SUM(I41:I42,I45:I53)</f>
        <v>52000</v>
      </c>
      <c r="K54" s="11"/>
    </row>
    <row r="55" spans="1:11" ht="15.75" thickTop="1" x14ac:dyDescent="0.25">
      <c r="A55" s="18"/>
      <c r="B55" s="10"/>
      <c r="C55" s="19"/>
      <c r="D55" s="19"/>
      <c r="E55" s="19"/>
      <c r="F55" s="19"/>
      <c r="G55" s="19"/>
      <c r="H55" s="8"/>
      <c r="I55" s="8"/>
      <c r="K55" s="11"/>
    </row>
    <row r="56" spans="1:11" x14ac:dyDescent="0.25">
      <c r="A56" s="7" t="s">
        <v>40</v>
      </c>
      <c r="B56" s="10"/>
      <c r="C56" s="8"/>
      <c r="D56" s="8"/>
      <c r="E56" s="8"/>
      <c r="F56" s="8"/>
      <c r="G56" s="8"/>
      <c r="H56" s="8"/>
      <c r="I56" s="8"/>
      <c r="K56" s="11"/>
    </row>
    <row r="57" spans="1:11" x14ac:dyDescent="0.25">
      <c r="A57" s="9" t="s">
        <v>1021</v>
      </c>
      <c r="B57" s="10"/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50000</v>
      </c>
      <c r="K57" s="11"/>
    </row>
    <row r="58" spans="1:11" x14ac:dyDescent="0.25">
      <c r="A58" s="9"/>
      <c r="B58" s="10"/>
      <c r="C58" s="8"/>
      <c r="D58" s="8"/>
      <c r="E58" s="8"/>
      <c r="F58" s="8"/>
      <c r="G58" s="8"/>
      <c r="H58" s="8"/>
      <c r="I58" s="8"/>
      <c r="K58" s="11"/>
    </row>
    <row r="59" spans="1:11" ht="15.75" thickBot="1" x14ac:dyDescent="0.3">
      <c r="A59" s="13" t="s">
        <v>978</v>
      </c>
      <c r="B59" s="14" t="s">
        <v>811</v>
      </c>
      <c r="C59" s="15">
        <f t="shared" ref="C59:I59" si="17">SUM(C57:C58)</f>
        <v>0</v>
      </c>
      <c r="D59" s="15">
        <f t="shared" si="17"/>
        <v>0</v>
      </c>
      <c r="E59" s="15">
        <f t="shared" si="17"/>
        <v>0</v>
      </c>
      <c r="F59" s="15">
        <f t="shared" si="17"/>
        <v>0</v>
      </c>
      <c r="G59" s="15">
        <f t="shared" si="17"/>
        <v>0</v>
      </c>
      <c r="H59" s="15">
        <f t="shared" si="17"/>
        <v>0</v>
      </c>
      <c r="I59" s="15">
        <f t="shared" si="17"/>
        <v>50000</v>
      </c>
      <c r="K59" s="11"/>
    </row>
    <row r="60" spans="1:11" ht="15.75" thickTop="1" x14ac:dyDescent="0.25">
      <c r="B60" s="10"/>
      <c r="C60" s="8"/>
      <c r="D60" s="8"/>
      <c r="E60" s="8"/>
      <c r="F60" s="8"/>
      <c r="G60" s="8"/>
      <c r="H60" s="8"/>
      <c r="I60" s="8"/>
      <c r="K60" s="11"/>
    </row>
    <row r="61" spans="1:11" ht="15.75" thickBot="1" x14ac:dyDescent="0.3">
      <c r="A61" s="29" t="s">
        <v>1022</v>
      </c>
      <c r="B61" s="14"/>
      <c r="C61" s="15">
        <f t="shared" ref="C61:I61" si="18">SUM(C59,C54,C37,C21,C16,C13)</f>
        <v>1289000</v>
      </c>
      <c r="D61" s="15">
        <f t="shared" si="18"/>
        <v>4281000</v>
      </c>
      <c r="E61" s="15">
        <f t="shared" si="18"/>
        <v>10115000</v>
      </c>
      <c r="F61" s="15">
        <f t="shared" si="18"/>
        <v>9273000</v>
      </c>
      <c r="G61" s="15">
        <f t="shared" si="18"/>
        <v>9706000</v>
      </c>
      <c r="H61" s="15">
        <f t="shared" si="18"/>
        <v>29381000</v>
      </c>
      <c r="I61" s="15">
        <f t="shared" si="18"/>
        <v>154000</v>
      </c>
    </row>
    <row r="62" spans="1:11" ht="15.75" thickTop="1" x14ac:dyDescent="0.25">
      <c r="C62" s="8"/>
      <c r="D62" s="8"/>
      <c r="E62" s="8"/>
      <c r="F62" s="8"/>
      <c r="G62" s="8"/>
      <c r="H62" s="8"/>
      <c r="I62" s="8"/>
    </row>
    <row r="63" spans="1:11" x14ac:dyDescent="0.25">
      <c r="C63" s="8"/>
      <c r="D63" s="8"/>
      <c r="E63" s="8"/>
      <c r="F63" s="8"/>
      <c r="G63" s="8"/>
      <c r="H63" s="8"/>
      <c r="I63" s="8"/>
    </row>
  </sheetData>
  <pageMargins left="0.7" right="0.7" top="0.75" bottom="0.75" header="0.3" footer="0.3"/>
  <pageSetup scale="7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AA702-531F-4193-9879-E815D7FFC157}">
  <sheetPr>
    <tabColor theme="8" tint="0.59999389629810485"/>
    <pageSetUpPr fitToPage="1"/>
  </sheetPr>
  <dimension ref="A1:Q70"/>
  <sheetViews>
    <sheetView zoomScale="85" zoomScaleNormal="85" zoomScaleSheetLayoutView="85" workbookViewId="0">
      <selection activeCell="B5" sqref="B5"/>
    </sheetView>
  </sheetViews>
  <sheetFormatPr defaultRowHeight="15" x14ac:dyDescent="0.25"/>
  <cols>
    <col min="1" max="1" width="27.140625" style="1" customWidth="1"/>
    <col min="2" max="4" width="13.5703125" style="1" customWidth="1"/>
    <col min="5" max="5" width="16.42578125" style="1" customWidth="1"/>
    <col min="6" max="7" width="13.5703125" style="1" customWidth="1"/>
    <col min="8" max="8" width="21.85546875" style="1" bestFit="1" customWidth="1"/>
    <col min="9" max="9" width="9" style="1" bestFit="1" customWidth="1"/>
    <col min="10" max="10" width="16.5703125" style="10" bestFit="1" customWidth="1"/>
    <col min="11" max="16" width="9.140625" style="1"/>
    <col min="17" max="17" width="13.42578125" style="1" bestFit="1" customWidth="1"/>
    <col min="18" max="16384" width="9.140625" style="1"/>
  </cols>
  <sheetData>
    <row r="1" spans="1:17" x14ac:dyDescent="0.25">
      <c r="A1" s="7" t="s">
        <v>825</v>
      </c>
    </row>
    <row r="2" spans="1:17" x14ac:dyDescent="0.25">
      <c r="A2" s="77" t="s">
        <v>1152</v>
      </c>
      <c r="B2" s="4"/>
      <c r="C2" s="4"/>
      <c r="D2" s="4"/>
      <c r="E2" s="4"/>
      <c r="F2" s="4"/>
      <c r="G2" s="4"/>
      <c r="H2" s="4"/>
    </row>
    <row r="3" spans="1:17" x14ac:dyDescent="0.25">
      <c r="B3" s="5" t="s">
        <v>888</v>
      </c>
      <c r="C3" s="5" t="s">
        <v>889</v>
      </c>
      <c r="F3" s="5" t="s">
        <v>888</v>
      </c>
      <c r="G3" s="5" t="s">
        <v>889</v>
      </c>
      <c r="J3" s="1"/>
    </row>
    <row r="4" spans="1:17" x14ac:dyDescent="0.25">
      <c r="A4" s="1" t="s">
        <v>890</v>
      </c>
      <c r="B4" s="33">
        <v>1925</v>
      </c>
      <c r="C4" s="33">
        <f>B4*12</f>
        <v>23100</v>
      </c>
      <c r="E4" s="1" t="s">
        <v>891</v>
      </c>
      <c r="F4" s="37">
        <v>0.02</v>
      </c>
      <c r="J4" s="1"/>
    </row>
    <row r="5" spans="1:17" x14ac:dyDescent="0.25">
      <c r="A5" s="1" t="s">
        <v>892</v>
      </c>
      <c r="B5" s="10">
        <v>127</v>
      </c>
      <c r="C5" s="10">
        <f>B5*12</f>
        <v>1524</v>
      </c>
      <c r="E5" s="1" t="s">
        <v>106</v>
      </c>
      <c r="F5" s="38">
        <v>0.2</v>
      </c>
      <c r="J5" s="1"/>
    </row>
    <row r="6" spans="1:17" x14ac:dyDescent="0.25">
      <c r="A6" s="1" t="s">
        <v>893</v>
      </c>
      <c r="B6" s="36">
        <v>5.0000000000000001E-3</v>
      </c>
      <c r="C6" s="10"/>
      <c r="E6" s="1" t="s">
        <v>894</v>
      </c>
      <c r="F6" s="37">
        <v>7.6499999999999999E-2</v>
      </c>
      <c r="J6" s="1"/>
    </row>
    <row r="7" spans="1:17" x14ac:dyDescent="0.25">
      <c r="A7" s="1" t="s">
        <v>895</v>
      </c>
      <c r="B7" s="10">
        <v>3</v>
      </c>
      <c r="C7" s="10">
        <f>B7*12</f>
        <v>36</v>
      </c>
      <c r="J7" s="1"/>
    </row>
    <row r="8" spans="1:17" x14ac:dyDescent="0.25">
      <c r="E8" s="39"/>
      <c r="F8" s="39"/>
      <c r="G8" s="39"/>
      <c r="J8" s="1"/>
    </row>
    <row r="9" spans="1:17" x14ac:dyDescent="0.25">
      <c r="A9" s="40" t="s">
        <v>898</v>
      </c>
      <c r="B9" s="41" t="s">
        <v>268</v>
      </c>
      <c r="C9" s="41" t="s">
        <v>269</v>
      </c>
      <c r="D9" s="41" t="s">
        <v>270</v>
      </c>
      <c r="E9" s="41" t="s">
        <v>271</v>
      </c>
      <c r="F9" s="41" t="s">
        <v>272</v>
      </c>
      <c r="G9" s="41" t="s">
        <v>274</v>
      </c>
      <c r="I9" s="47" t="s">
        <v>899</v>
      </c>
      <c r="J9" s="47" t="s">
        <v>899</v>
      </c>
      <c r="P9" s="1" t="s">
        <v>268</v>
      </c>
      <c r="Q9" s="10">
        <f t="shared" ref="Q9:Q15" si="0">_xlfn.XLOOKUP(P9,$B$9:$G$9,$B$22:$G$22,0)</f>
        <v>746500</v>
      </c>
    </row>
    <row r="10" spans="1:17" s="6" customFormat="1" x14ac:dyDescent="0.25">
      <c r="B10" s="5" t="s">
        <v>900</v>
      </c>
      <c r="C10" s="5" t="s">
        <v>901</v>
      </c>
      <c r="D10" s="5" t="s">
        <v>106</v>
      </c>
      <c r="E10" s="5" t="s">
        <v>902</v>
      </c>
      <c r="F10" s="5" t="s">
        <v>903</v>
      </c>
      <c r="G10" s="5" t="s">
        <v>114</v>
      </c>
      <c r="H10" s="5" t="s">
        <v>904</v>
      </c>
      <c r="I10" s="5" t="s">
        <v>905</v>
      </c>
      <c r="J10" s="5" t="s">
        <v>906</v>
      </c>
      <c r="P10" s="6" t="s">
        <v>269</v>
      </c>
      <c r="Q10" s="10">
        <f t="shared" si="0"/>
        <v>57107.25</v>
      </c>
    </row>
    <row r="11" spans="1:17" x14ac:dyDescent="0.25">
      <c r="A11" s="7" t="s">
        <v>907</v>
      </c>
      <c r="B11" s="10"/>
      <c r="C11" s="10"/>
      <c r="D11" s="10"/>
      <c r="E11" s="10"/>
      <c r="F11" s="10"/>
      <c r="G11" s="10"/>
      <c r="I11" s="7"/>
      <c r="J11" s="42"/>
      <c r="P11" s="1" t="s">
        <v>270</v>
      </c>
      <c r="Q11" s="10">
        <f t="shared" si="0"/>
        <v>112500</v>
      </c>
    </row>
    <row r="12" spans="1:17" x14ac:dyDescent="0.25">
      <c r="A12" s="1" t="s">
        <v>908</v>
      </c>
      <c r="B12" s="50">
        <f t="shared" ref="B12:B20" si="1">J12*I12</f>
        <v>135000</v>
      </c>
      <c r="C12" s="48">
        <f t="shared" ref="C12:C20" si="2">B12*$F$6</f>
        <v>10327.5</v>
      </c>
      <c r="D12" s="48">
        <f>B12*$F$5</f>
        <v>27000</v>
      </c>
      <c r="E12" s="48" cm="1">
        <f t="array" ref="E12">SUM(($C$4:$C$5)+(B12*$B$6))*I12</f>
        <v>25974</v>
      </c>
      <c r="F12" s="48">
        <f t="shared" ref="F12:F20" si="3">B12*$F$4</f>
        <v>2700</v>
      </c>
      <c r="G12" s="48">
        <v>0</v>
      </c>
      <c r="I12" s="49">
        <v>1</v>
      </c>
      <c r="J12" s="49">
        <v>135000</v>
      </c>
      <c r="P12" s="1" t="s">
        <v>271</v>
      </c>
      <c r="Q12" s="10">
        <f t="shared" si="0"/>
        <v>236063.5</v>
      </c>
    </row>
    <row r="13" spans="1:17" x14ac:dyDescent="0.25">
      <c r="A13" s="1" t="s">
        <v>1148</v>
      </c>
      <c r="B13" s="50">
        <f t="shared" si="1"/>
        <v>40000</v>
      </c>
      <c r="C13" s="50">
        <f t="shared" si="2"/>
        <v>3060</v>
      </c>
      <c r="D13" s="50">
        <f>B13*$F$5</f>
        <v>8000</v>
      </c>
      <c r="E13" s="50" cm="1">
        <f t="array" ref="E13">SUM(($C$4:$C$5)+(B13*$B$6))*I13</f>
        <v>25024</v>
      </c>
      <c r="F13" s="50">
        <f t="shared" si="3"/>
        <v>800</v>
      </c>
      <c r="G13" s="50">
        <v>0</v>
      </c>
      <c r="I13" s="49">
        <v>1</v>
      </c>
      <c r="J13" s="49">
        <v>40000</v>
      </c>
      <c r="P13" s="1" t="s">
        <v>272</v>
      </c>
      <c r="Q13" s="10">
        <f t="shared" si="0"/>
        <v>14930</v>
      </c>
    </row>
    <row r="14" spans="1:17" x14ac:dyDescent="0.25">
      <c r="A14" s="1" t="s">
        <v>1148</v>
      </c>
      <c r="B14" s="50">
        <f t="shared" si="1"/>
        <v>37000</v>
      </c>
      <c r="C14" s="50">
        <f t="shared" si="2"/>
        <v>2830.5</v>
      </c>
      <c r="D14" s="50">
        <f>B14*$F$5</f>
        <v>7400</v>
      </c>
      <c r="E14" s="50" cm="1">
        <f t="array" ref="E14">SUM(($C$4:$C$5)+(B14*$B$6))*I14</f>
        <v>24994</v>
      </c>
      <c r="F14" s="50">
        <f t="shared" si="3"/>
        <v>740</v>
      </c>
      <c r="G14" s="50">
        <v>0</v>
      </c>
      <c r="I14" s="49">
        <v>1</v>
      </c>
      <c r="J14" s="49">
        <v>37000</v>
      </c>
      <c r="P14" s="1" t="s">
        <v>274</v>
      </c>
      <c r="Q14" s="10">
        <f t="shared" si="0"/>
        <v>36</v>
      </c>
    </row>
    <row r="15" spans="1:17" x14ac:dyDescent="0.25">
      <c r="A15" s="78" t="s">
        <v>1148</v>
      </c>
      <c r="B15" s="79">
        <f t="shared" si="1"/>
        <v>36000</v>
      </c>
      <c r="C15" s="79">
        <f t="shared" si="2"/>
        <v>2754</v>
      </c>
      <c r="D15" s="79">
        <f>B15*$F$5</f>
        <v>7200</v>
      </c>
      <c r="E15" s="79" cm="1">
        <f t="array" ref="E15">SUM(($C$4:$C$5)+(B15*$B$6))*I15</f>
        <v>24984</v>
      </c>
      <c r="F15" s="79">
        <f t="shared" si="3"/>
        <v>720</v>
      </c>
      <c r="G15" s="79">
        <v>0</v>
      </c>
      <c r="H15" s="78" t="s">
        <v>1149</v>
      </c>
      <c r="I15" s="49">
        <v>1</v>
      </c>
      <c r="J15" s="49">
        <v>36000</v>
      </c>
      <c r="P15" s="1" t="s">
        <v>274</v>
      </c>
      <c r="Q15" s="10">
        <f t="shared" si="0"/>
        <v>36</v>
      </c>
    </row>
    <row r="16" spans="1:17" x14ac:dyDescent="0.25">
      <c r="A16" s="78" t="s">
        <v>909</v>
      </c>
      <c r="B16" s="79">
        <f t="shared" si="1"/>
        <v>290000</v>
      </c>
      <c r="C16" s="79">
        <f t="shared" si="2"/>
        <v>22185</v>
      </c>
      <c r="D16" s="79">
        <f>B16*$F$5</f>
        <v>58000</v>
      </c>
      <c r="E16" s="79" cm="1">
        <f t="array" ref="E16">SUM(($C$4:$C$5)+(B16*$B$6))*I16</f>
        <v>110096</v>
      </c>
      <c r="F16" s="79">
        <f t="shared" si="3"/>
        <v>5800</v>
      </c>
      <c r="G16" s="79">
        <v>0</v>
      </c>
      <c r="H16" s="78" t="s">
        <v>1150</v>
      </c>
      <c r="I16" s="49">
        <v>4</v>
      </c>
      <c r="J16" s="49">
        <v>72500</v>
      </c>
    </row>
    <row r="17" spans="1:17" x14ac:dyDescent="0.25">
      <c r="A17" s="1" t="s">
        <v>910</v>
      </c>
      <c r="B17" s="62">
        <f t="shared" si="1"/>
        <v>120000</v>
      </c>
      <c r="C17" s="62">
        <f t="shared" si="2"/>
        <v>9180</v>
      </c>
      <c r="D17" s="62">
        <v>0</v>
      </c>
      <c r="E17" s="62">
        <v>0</v>
      </c>
      <c r="F17" s="62">
        <f t="shared" si="3"/>
        <v>2400</v>
      </c>
      <c r="G17" s="62">
        <v>0</v>
      </c>
      <c r="I17" s="49">
        <v>1</v>
      </c>
      <c r="J17" s="49">
        <v>120000</v>
      </c>
    </row>
    <row r="18" spans="1:17" x14ac:dyDescent="0.25">
      <c r="A18" s="1" t="s">
        <v>911</v>
      </c>
      <c r="B18" s="50">
        <f t="shared" si="1"/>
        <v>39000</v>
      </c>
      <c r="C18" s="50">
        <f t="shared" si="2"/>
        <v>2983.5</v>
      </c>
      <c r="D18" s="50">
        <f>ROUND((B18*$F$5)/3,2)</f>
        <v>2600</v>
      </c>
      <c r="E18" s="50" cm="1">
        <f t="array" ref="E18">SUM(($C$4:$C$5)+(B18*$B$6))*I18</f>
        <v>12507</v>
      </c>
      <c r="F18" s="50">
        <f t="shared" si="3"/>
        <v>780</v>
      </c>
      <c r="G18" s="50">
        <f>$C$7*I18</f>
        <v>18</v>
      </c>
      <c r="I18" s="49">
        <v>0.5</v>
      </c>
      <c r="J18" s="49">
        <v>78000</v>
      </c>
    </row>
    <row r="19" spans="1:17" x14ac:dyDescent="0.25">
      <c r="A19" s="78" t="s">
        <v>912</v>
      </c>
      <c r="B19" s="79">
        <f t="shared" si="1"/>
        <v>34500</v>
      </c>
      <c r="C19" s="79">
        <f t="shared" si="2"/>
        <v>2639.25</v>
      </c>
      <c r="D19" s="79">
        <f>ROUND((B19*$F$5)/3,2)</f>
        <v>2300</v>
      </c>
      <c r="E19" s="79" cm="1">
        <f t="array" ref="E19">SUM(($C$4:$C$5)+(B19*$B$6))*I19</f>
        <v>12484.5</v>
      </c>
      <c r="F19" s="79">
        <f t="shared" si="3"/>
        <v>690</v>
      </c>
      <c r="G19" s="79">
        <f>$C$7*I19</f>
        <v>18</v>
      </c>
      <c r="H19" s="78" t="s">
        <v>929</v>
      </c>
      <c r="I19" s="49">
        <v>0.5</v>
      </c>
      <c r="J19" s="49">
        <v>69000</v>
      </c>
    </row>
    <row r="20" spans="1:17" x14ac:dyDescent="0.25">
      <c r="A20" s="1" t="s">
        <v>913</v>
      </c>
      <c r="B20" s="50">
        <f t="shared" si="1"/>
        <v>15000</v>
      </c>
      <c r="C20" s="50">
        <f t="shared" si="2"/>
        <v>1147.5</v>
      </c>
      <c r="D20" s="50">
        <v>0</v>
      </c>
      <c r="E20" s="50">
        <v>0</v>
      </c>
      <c r="F20" s="50">
        <f t="shared" si="3"/>
        <v>300</v>
      </c>
      <c r="G20" s="50">
        <v>0</v>
      </c>
      <c r="I20" s="49">
        <v>0.5</v>
      </c>
      <c r="J20" s="49">
        <v>30000</v>
      </c>
    </row>
    <row r="21" spans="1:17" x14ac:dyDescent="0.25">
      <c r="B21" s="10"/>
      <c r="C21" s="10"/>
      <c r="D21" s="10"/>
      <c r="E21" s="10"/>
      <c r="F21" s="10"/>
      <c r="G21" s="10"/>
      <c r="I21" s="10"/>
    </row>
    <row r="22" spans="1:17" ht="21" customHeight="1" thickBot="1" x14ac:dyDescent="0.3">
      <c r="A22" s="40" t="s">
        <v>914</v>
      </c>
      <c r="B22" s="43">
        <f t="shared" ref="B22:G22" si="4">SUM(B12:B21)</f>
        <v>746500</v>
      </c>
      <c r="C22" s="43">
        <f t="shared" si="4"/>
        <v>57107.25</v>
      </c>
      <c r="D22" s="43">
        <f t="shared" si="4"/>
        <v>112500</v>
      </c>
      <c r="E22" s="43">
        <f t="shared" si="4"/>
        <v>236063.5</v>
      </c>
      <c r="F22" s="43">
        <f t="shared" si="4"/>
        <v>14930</v>
      </c>
      <c r="G22" s="43">
        <f t="shared" si="4"/>
        <v>36</v>
      </c>
      <c r="H22" s="43">
        <f>SUM(B22:G22)</f>
        <v>1167136.75</v>
      </c>
      <c r="I22" s="10"/>
    </row>
    <row r="23" spans="1:17" ht="21" customHeight="1" thickTop="1" x14ac:dyDescent="0.25">
      <c r="A23" s="1" t="s">
        <v>915</v>
      </c>
      <c r="B23" s="51">
        <f>_xlfn.XLOOKUP(B9,'Master Budget'!$G$4:$G$360,'Master Budget'!$L$4:$L$360,0)</f>
        <v>746500</v>
      </c>
      <c r="C23" s="51">
        <f>_xlfn.XLOOKUP(C9,'Master Budget'!$G$4:$G$360,'Master Budget'!$L$4:$L$360,0)</f>
        <v>57107.25</v>
      </c>
      <c r="D23" s="51">
        <f>_xlfn.XLOOKUP(D9,'Master Budget'!$G$4:$G$360,'Master Budget'!$L$4:$L$360,0)</f>
        <v>112500</v>
      </c>
      <c r="E23" s="51">
        <f>_xlfn.XLOOKUP(E9,'Master Budget'!$G$4:$G$360,'Master Budget'!$L$4:$L$360,0)</f>
        <v>236063.5</v>
      </c>
      <c r="F23" s="51">
        <f>_xlfn.XLOOKUP(F9,'Master Budget'!$G$4:$G$360,'Master Budget'!$L$4:$L$360,0)</f>
        <v>14930</v>
      </c>
      <c r="G23" s="51">
        <f>_xlfn.XLOOKUP(G9,'Master Budget'!$G$4:$G$360,'Master Budget'!$L$4:$L$360,0)</f>
        <v>36</v>
      </c>
      <c r="H23" s="35"/>
    </row>
    <row r="24" spans="1:17" ht="21" customHeight="1" x14ac:dyDescent="0.25">
      <c r="B24" s="52">
        <f>B22-B23</f>
        <v>0</v>
      </c>
      <c r="C24" s="52">
        <f>C22-C23</f>
        <v>0</v>
      </c>
      <c r="D24" s="52">
        <f>D22-D23</f>
        <v>0</v>
      </c>
      <c r="E24" s="52">
        <f>E22-E23</f>
        <v>0</v>
      </c>
      <c r="F24" s="52">
        <f>F22-F23</f>
        <v>0</v>
      </c>
      <c r="G24" s="35"/>
      <c r="H24" s="35"/>
    </row>
    <row r="25" spans="1:17" x14ac:dyDescent="0.25">
      <c r="B25" s="10"/>
      <c r="C25" s="10"/>
      <c r="D25" s="10"/>
      <c r="E25" s="10"/>
      <c r="F25" s="10"/>
      <c r="G25" s="10"/>
    </row>
    <row r="26" spans="1:17" x14ac:dyDescent="0.25">
      <c r="A26" s="40" t="s">
        <v>898</v>
      </c>
      <c r="B26" s="41" t="s">
        <v>424</v>
      </c>
      <c r="C26" s="41" t="s">
        <v>425</v>
      </c>
      <c r="D26" s="41" t="s">
        <v>426</v>
      </c>
      <c r="E26" s="41"/>
      <c r="F26" s="41" t="s">
        <v>427</v>
      </c>
      <c r="G26" s="41"/>
      <c r="I26" s="47" t="s">
        <v>899</v>
      </c>
      <c r="J26" s="47" t="s">
        <v>899</v>
      </c>
      <c r="P26" s="1" t="s">
        <v>424</v>
      </c>
      <c r="Q26" s="10">
        <f>_xlfn.XLOOKUP(P26,$B$26:$G$26,$B$34:$G$34,0)</f>
        <v>356000</v>
      </c>
    </row>
    <row r="27" spans="1:17" x14ac:dyDescent="0.25">
      <c r="A27" s="7" t="s">
        <v>916</v>
      </c>
      <c r="B27" s="5" t="s">
        <v>900</v>
      </c>
      <c r="C27" s="5" t="s">
        <v>901</v>
      </c>
      <c r="D27" s="5" t="s">
        <v>106</v>
      </c>
      <c r="E27" s="5" t="s">
        <v>902</v>
      </c>
      <c r="F27" s="5" t="s">
        <v>903</v>
      </c>
      <c r="G27" s="5"/>
      <c r="H27" s="5" t="s">
        <v>904</v>
      </c>
      <c r="I27" s="5" t="s">
        <v>905</v>
      </c>
      <c r="J27" s="6" t="s">
        <v>906</v>
      </c>
      <c r="P27" s="1" t="s">
        <v>425</v>
      </c>
      <c r="Q27" s="10">
        <f>_xlfn.XLOOKUP(P27,$B$26:$G$26,$B$34:$G$34,0)</f>
        <v>24939</v>
      </c>
    </row>
    <row r="28" spans="1:17" x14ac:dyDescent="0.25">
      <c r="A28" s="1" t="s">
        <v>908</v>
      </c>
      <c r="B28" s="50">
        <f>J28*I28</f>
        <v>0</v>
      </c>
      <c r="C28" s="50">
        <f>B28*$F$6</f>
        <v>0</v>
      </c>
      <c r="D28" s="50">
        <v>0</v>
      </c>
      <c r="E28" s="50">
        <v>0</v>
      </c>
      <c r="F28" s="50">
        <f>B28*$F$4</f>
        <v>0</v>
      </c>
      <c r="G28" s="50">
        <v>0</v>
      </c>
      <c r="I28" s="49">
        <v>1</v>
      </c>
      <c r="J28" s="53">
        <v>0</v>
      </c>
      <c r="K28" s="80" t="s">
        <v>1151</v>
      </c>
      <c r="L28" s="80"/>
      <c r="M28" s="80"/>
      <c r="N28" s="31"/>
      <c r="O28" s="31"/>
      <c r="P28" s="1" t="s">
        <v>426</v>
      </c>
      <c r="Q28" s="10">
        <f>_xlfn.XLOOKUP(P28,$B$26:$G$26,$B$34:$G$34,0)</f>
        <v>0</v>
      </c>
    </row>
    <row r="29" spans="1:17" x14ac:dyDescent="0.25">
      <c r="A29" s="1" t="s">
        <v>918</v>
      </c>
      <c r="B29" s="50">
        <f>J29*I29</f>
        <v>30000</v>
      </c>
      <c r="C29" s="50">
        <f>B29*$F$6</f>
        <v>2295</v>
      </c>
      <c r="D29" s="50">
        <v>0</v>
      </c>
      <c r="E29" s="50">
        <v>0</v>
      </c>
      <c r="F29" s="50">
        <f>B29*$F$4</f>
        <v>600</v>
      </c>
      <c r="G29" s="50">
        <v>0</v>
      </c>
      <c r="I29" s="49">
        <v>1</v>
      </c>
      <c r="J29" s="53">
        <v>30000</v>
      </c>
      <c r="P29" s="1" t="s">
        <v>427</v>
      </c>
      <c r="Q29" s="10">
        <f>_xlfn.XLOOKUP(P29,$B$26:$G$26,$B$34:$G$34,0)</f>
        <v>6520</v>
      </c>
    </row>
    <row r="30" spans="1:17" x14ac:dyDescent="0.25">
      <c r="A30" s="1" t="s">
        <v>918</v>
      </c>
      <c r="B30" s="50">
        <f>J30*I30</f>
        <v>30000</v>
      </c>
      <c r="C30" s="50">
        <f>B30*$F$6</f>
        <v>2295</v>
      </c>
      <c r="D30" s="50">
        <v>0</v>
      </c>
      <c r="E30" s="50">
        <v>0</v>
      </c>
      <c r="F30" s="50">
        <f>B30*$F$4</f>
        <v>600</v>
      </c>
      <c r="G30" s="50">
        <v>0</v>
      </c>
      <c r="I30" s="49">
        <v>1</v>
      </c>
      <c r="J30" s="53">
        <v>30000</v>
      </c>
    </row>
    <row r="31" spans="1:17" x14ac:dyDescent="0.25">
      <c r="A31" s="78" t="s">
        <v>918</v>
      </c>
      <c r="B31" s="79">
        <f>J31*I31</f>
        <v>30000</v>
      </c>
      <c r="C31" s="79"/>
      <c r="D31" s="79"/>
      <c r="E31" s="79"/>
      <c r="F31" s="79"/>
      <c r="G31" s="79"/>
      <c r="H31" s="78" t="s">
        <v>919</v>
      </c>
      <c r="I31" s="49">
        <v>1</v>
      </c>
      <c r="J31" s="53">
        <v>30000</v>
      </c>
    </row>
    <row r="32" spans="1:17" x14ac:dyDescent="0.25">
      <c r="A32" s="1" t="s">
        <v>1153</v>
      </c>
      <c r="B32" s="50">
        <f>J32*I32</f>
        <v>266000</v>
      </c>
      <c r="C32" s="50">
        <f>B32*$F$6</f>
        <v>20349</v>
      </c>
      <c r="D32" s="50">
        <v>0</v>
      </c>
      <c r="E32" s="50">
        <v>0</v>
      </c>
      <c r="F32" s="50">
        <f>B32*$F$4</f>
        <v>5320</v>
      </c>
      <c r="G32" s="50">
        <v>0</v>
      </c>
      <c r="I32" s="49">
        <v>7</v>
      </c>
      <c r="J32" s="53">
        <v>38000</v>
      </c>
      <c r="K32" s="10"/>
    </row>
    <row r="33" spans="1:17" x14ac:dyDescent="0.25">
      <c r="B33" s="10"/>
      <c r="C33" s="10">
        <f>B33*$F$6</f>
        <v>0</v>
      </c>
      <c r="D33" s="10"/>
      <c r="E33" s="10"/>
      <c r="F33" s="10"/>
      <c r="G33" s="10"/>
      <c r="I33" s="10"/>
    </row>
    <row r="34" spans="1:17" ht="21" customHeight="1" thickBot="1" x14ac:dyDescent="0.3">
      <c r="A34" s="40" t="s">
        <v>921</v>
      </c>
      <c r="B34" s="43">
        <f>SUM(B28:B33)</f>
        <v>356000</v>
      </c>
      <c r="C34" s="43">
        <f>SUM(C28:C33)</f>
        <v>24939</v>
      </c>
      <c r="D34" s="43">
        <f>SUM(D28:D33)</f>
        <v>0</v>
      </c>
      <c r="E34" s="43">
        <f>SUM(E28:E33)</f>
        <v>0</v>
      </c>
      <c r="F34" s="43">
        <f>SUM(F28:F33)</f>
        <v>6520</v>
      </c>
      <c r="G34" s="43"/>
      <c r="H34" s="43">
        <f>SUM(B34:G34)</f>
        <v>387459</v>
      </c>
      <c r="I34" s="10"/>
    </row>
    <row r="35" spans="1:17" ht="15.75" thickTop="1" x14ac:dyDescent="0.25">
      <c r="A35" s="1" t="s">
        <v>915</v>
      </c>
      <c r="B35" s="51">
        <f>_xlfn.XLOOKUP(B26,'Master Budget'!$G$4:$G$360,'Master Budget'!$L$4:$L$360,0)</f>
        <v>356000</v>
      </c>
      <c r="C35" s="51">
        <f>_xlfn.XLOOKUP(C26,'Master Budget'!$G$4:$G$360,'Master Budget'!$L$4:$L$360,0)</f>
        <v>24939</v>
      </c>
      <c r="D35" s="51">
        <f>_xlfn.XLOOKUP(D26,'Master Budget'!$G$4:$G$360,'Master Budget'!$L$4:$L$360,0)</f>
        <v>0</v>
      </c>
      <c r="E35" s="51">
        <f>_xlfn.XLOOKUP(E26,'Master Budget'!$G$4:$G$360,'Master Budget'!$L$4:$L$360,0)</f>
        <v>0</v>
      </c>
      <c r="F35" s="51">
        <f>_xlfn.XLOOKUP(F26,'Master Budget'!$G$4:$G$360,'Master Budget'!$L$4:$L$360,0)</f>
        <v>6520</v>
      </c>
      <c r="G35" s="51"/>
    </row>
    <row r="36" spans="1:17" x14ac:dyDescent="0.25">
      <c r="B36" s="52">
        <f>B34-B35</f>
        <v>0</v>
      </c>
      <c r="C36" s="52">
        <f>C34-C35</f>
        <v>0</v>
      </c>
      <c r="D36" s="52">
        <f>D34-D35</f>
        <v>0</v>
      </c>
      <c r="E36" s="52">
        <f>E34-E35</f>
        <v>0</v>
      </c>
      <c r="F36" s="52">
        <f>F34-F35</f>
        <v>0</v>
      </c>
      <c r="G36" s="35"/>
    </row>
    <row r="37" spans="1:17" x14ac:dyDescent="0.25">
      <c r="B37" s="10"/>
      <c r="C37" s="10"/>
      <c r="D37" s="10"/>
      <c r="E37" s="10"/>
      <c r="F37" s="10"/>
      <c r="G37" s="10"/>
    </row>
    <row r="38" spans="1:17" x14ac:dyDescent="0.25">
      <c r="A38" s="40" t="s">
        <v>898</v>
      </c>
      <c r="B38" s="41" t="s">
        <v>607</v>
      </c>
      <c r="C38" s="41" t="s">
        <v>608</v>
      </c>
      <c r="D38" s="41" t="s">
        <v>609</v>
      </c>
      <c r="E38" s="41" t="s">
        <v>610</v>
      </c>
      <c r="F38" s="41" t="s">
        <v>611</v>
      </c>
      <c r="G38" s="41" t="s">
        <v>613</v>
      </c>
      <c r="I38" s="47" t="s">
        <v>899</v>
      </c>
      <c r="J38" s="47" t="s">
        <v>899</v>
      </c>
      <c r="P38" s="1" t="s">
        <v>607</v>
      </c>
      <c r="Q38" s="10">
        <f t="shared" ref="Q38:Q43" si="5">_xlfn.XLOOKUP(P38,$B$38:$G$38,$B$50:$G$50,0)</f>
        <v>221918.51250000001</v>
      </c>
    </row>
    <row r="39" spans="1:17" x14ac:dyDescent="0.25">
      <c r="A39" s="7" t="s">
        <v>922</v>
      </c>
      <c r="B39" s="5" t="s">
        <v>900</v>
      </c>
      <c r="C39" s="5" t="s">
        <v>901</v>
      </c>
      <c r="D39" s="5" t="s">
        <v>106</v>
      </c>
      <c r="E39" s="5" t="s">
        <v>902</v>
      </c>
      <c r="F39" s="5" t="s">
        <v>903</v>
      </c>
      <c r="G39" s="5" t="s">
        <v>114</v>
      </c>
      <c r="H39" s="5" t="s">
        <v>904</v>
      </c>
      <c r="I39" s="5" t="s">
        <v>905</v>
      </c>
      <c r="J39" s="6" t="s">
        <v>906</v>
      </c>
      <c r="L39" s="1">
        <v>2.5000000000000001E-2</v>
      </c>
      <c r="M39" s="1">
        <v>2.5000000000000001E-2</v>
      </c>
      <c r="P39" s="1" t="s">
        <v>608</v>
      </c>
      <c r="Q39" s="10">
        <f t="shared" si="5"/>
        <v>16976.766206250002</v>
      </c>
    </row>
    <row r="40" spans="1:17" x14ac:dyDescent="0.25">
      <c r="A40" s="1" t="s">
        <v>923</v>
      </c>
      <c r="B40" s="50">
        <f>J40*I40</f>
        <v>67500</v>
      </c>
      <c r="C40" s="50">
        <f t="shared" ref="C40:C49" si="6">B40*$F$6</f>
        <v>5163.75</v>
      </c>
      <c r="D40" s="50">
        <f>(B40*$F$5)</f>
        <v>13500</v>
      </c>
      <c r="E40" s="50" cm="1">
        <f t="array" ref="E40">SUM(($C$4:$C$5)+(B40*$B$6))*I40</f>
        <v>12649.5</v>
      </c>
      <c r="F40" s="50">
        <f t="shared" ref="F40:F47" si="7">B40*$F$4</f>
        <v>1350</v>
      </c>
      <c r="G40" s="50">
        <f>$C$7/2</f>
        <v>18</v>
      </c>
      <c r="I40" s="49">
        <v>0.5</v>
      </c>
      <c r="J40" s="49">
        <v>135000</v>
      </c>
      <c r="P40" s="1" t="s">
        <v>609</v>
      </c>
      <c r="Q40" s="10">
        <f t="shared" si="5"/>
        <v>31944.720000000001</v>
      </c>
    </row>
    <row r="41" spans="1:17" x14ac:dyDescent="0.25">
      <c r="A41" s="1" t="s">
        <v>924</v>
      </c>
      <c r="B41" s="50">
        <f>(52*25*J41)*I41</f>
        <v>19136</v>
      </c>
      <c r="C41" s="50">
        <f t="shared" si="6"/>
        <v>1463.904</v>
      </c>
      <c r="D41" s="50"/>
      <c r="E41" s="50"/>
      <c r="F41" s="50">
        <f t="shared" si="7"/>
        <v>382.72</v>
      </c>
      <c r="G41" s="50"/>
      <c r="H41" s="1" t="s">
        <v>925</v>
      </c>
      <c r="I41" s="49">
        <v>0.5</v>
      </c>
      <c r="J41" s="49">
        <v>29.44</v>
      </c>
      <c r="L41" s="54">
        <f>J41*L39</f>
        <v>0.7360000000000001</v>
      </c>
      <c r="M41" s="54">
        <f>(J41+L41)*M39</f>
        <v>0.75440000000000007</v>
      </c>
      <c r="P41" s="1" t="s">
        <v>610</v>
      </c>
      <c r="Q41" s="10">
        <f t="shared" si="5"/>
        <v>50232.110999999997</v>
      </c>
    </row>
    <row r="42" spans="1:17" x14ac:dyDescent="0.25">
      <c r="A42" s="1" t="s">
        <v>926</v>
      </c>
      <c r="B42" s="50">
        <f>(52*12*J42)*I42</f>
        <v>7778.16</v>
      </c>
      <c r="C42" s="50">
        <f t="shared" si="6"/>
        <v>595.02923999999996</v>
      </c>
      <c r="D42" s="50"/>
      <c r="E42" s="50"/>
      <c r="F42" s="50">
        <f t="shared" si="7"/>
        <v>155.56319999999999</v>
      </c>
      <c r="G42" s="50"/>
      <c r="H42" s="1" t="s">
        <v>927</v>
      </c>
      <c r="I42" s="49">
        <v>0.5</v>
      </c>
      <c r="J42" s="49">
        <v>24.93</v>
      </c>
      <c r="L42" s="54">
        <f>J42*L39</f>
        <v>0.62325000000000008</v>
      </c>
      <c r="M42" s="54">
        <f>(L42+J42)*M39</f>
        <v>0.63883124999999996</v>
      </c>
      <c r="P42" s="1" t="s">
        <v>611</v>
      </c>
      <c r="Q42" s="10">
        <f t="shared" si="5"/>
        <v>4262.7552000000005</v>
      </c>
    </row>
    <row r="43" spans="1:17" x14ac:dyDescent="0.25">
      <c r="A43" s="1" t="str">
        <f>"Staff (FT-"&amp;I43&amp;")"</f>
        <v>Staff (FT-2)</v>
      </c>
      <c r="B43" s="50">
        <f>(2080*J43)*I43/2</f>
        <v>55473.600000000006</v>
      </c>
      <c r="C43" s="50">
        <f t="shared" si="6"/>
        <v>4243.7304000000004</v>
      </c>
      <c r="D43" s="50">
        <f>(B43*$F$5)</f>
        <v>11094.720000000001</v>
      </c>
      <c r="E43" s="50" cm="1">
        <f t="array" ref="E43">SUM(($C$4:$C$5)+(B43*$B$6))</f>
        <v>25178.735999999997</v>
      </c>
      <c r="F43" s="50">
        <f t="shared" si="7"/>
        <v>1109.4720000000002</v>
      </c>
      <c r="G43" s="50">
        <f>$C$7</f>
        <v>36</v>
      </c>
      <c r="I43" s="49">
        <v>2</v>
      </c>
      <c r="J43" s="49">
        <v>26.67</v>
      </c>
      <c r="L43" s="54">
        <f>J43*L39*2</f>
        <v>1.3335000000000001</v>
      </c>
      <c r="M43" s="54">
        <f>(L43+J43)*M39*2</f>
        <v>1.4001750000000002</v>
      </c>
      <c r="P43" s="1" t="s">
        <v>613</v>
      </c>
      <c r="Q43" s="10">
        <f t="shared" si="5"/>
        <v>108</v>
      </c>
    </row>
    <row r="44" spans="1:17" x14ac:dyDescent="0.25">
      <c r="A44" s="78" t="str">
        <f>"Staff (PT-"&amp;I44&amp;")"</f>
        <v>Staff (PT-2)</v>
      </c>
      <c r="B44" s="79">
        <f>(1000*J44)*I44/2</f>
        <v>19000</v>
      </c>
      <c r="C44" s="79">
        <f t="shared" si="6"/>
        <v>1453.5</v>
      </c>
      <c r="D44" s="79"/>
      <c r="E44" s="79">
        <v>0</v>
      </c>
      <c r="F44" s="79">
        <f t="shared" si="7"/>
        <v>380</v>
      </c>
      <c r="G44" s="79"/>
      <c r="H44" s="78" t="s">
        <v>928</v>
      </c>
      <c r="I44" s="49">
        <v>2</v>
      </c>
      <c r="J44" s="49">
        <v>19</v>
      </c>
      <c r="L44" s="54">
        <f>J44*L39*3</f>
        <v>1.425</v>
      </c>
      <c r="M44" s="54">
        <f>(L44+J44)*M39*3</f>
        <v>1.5318749999999999</v>
      </c>
    </row>
    <row r="45" spans="1:17" x14ac:dyDescent="0.25">
      <c r="A45" s="1" t="s">
        <v>911</v>
      </c>
      <c r="B45" s="50">
        <f>J45*I45</f>
        <v>19500</v>
      </c>
      <c r="C45" s="50">
        <f t="shared" si="6"/>
        <v>1491.75</v>
      </c>
      <c r="D45" s="50">
        <f>(B45*$F$5)</f>
        <v>3900</v>
      </c>
      <c r="E45" s="50" cm="1">
        <f t="array" ref="E45">SUM(($C$4:$C$5)+(B45*$B$6))*I45</f>
        <v>6204.75</v>
      </c>
      <c r="F45" s="50">
        <f t="shared" si="7"/>
        <v>390</v>
      </c>
      <c r="G45" s="50">
        <f>$C$7*I45</f>
        <v>9</v>
      </c>
      <c r="I45" s="49">
        <v>0.25</v>
      </c>
      <c r="J45" s="49">
        <f>$J$18</f>
        <v>78000</v>
      </c>
    </row>
    <row r="46" spans="1:17" x14ac:dyDescent="0.25">
      <c r="A46" s="78" t="s">
        <v>912</v>
      </c>
      <c r="B46" s="79">
        <f>J46*I46</f>
        <v>17250</v>
      </c>
      <c r="C46" s="79">
        <f t="shared" si="6"/>
        <v>1319.625</v>
      </c>
      <c r="D46" s="79">
        <f>(B46*$F$5)</f>
        <v>3450</v>
      </c>
      <c r="E46" s="79" cm="1">
        <f t="array" ref="E46">SUM(($C$4:$C$5)+(B46*$B$6))*I46</f>
        <v>6199.125</v>
      </c>
      <c r="F46" s="79">
        <f t="shared" si="7"/>
        <v>345</v>
      </c>
      <c r="G46" s="79">
        <f>$C$7*I46</f>
        <v>9</v>
      </c>
      <c r="H46" s="78" t="s">
        <v>929</v>
      </c>
      <c r="I46" s="49">
        <v>0.25</v>
      </c>
      <c r="J46" s="49">
        <v>69000</v>
      </c>
    </row>
    <row r="47" spans="1:17" x14ac:dyDescent="0.25">
      <c r="A47" s="1" t="s">
        <v>913</v>
      </c>
      <c r="B47" s="50">
        <f>J47*I47</f>
        <v>7500</v>
      </c>
      <c r="C47" s="50">
        <f t="shared" si="6"/>
        <v>573.75</v>
      </c>
      <c r="D47" s="50">
        <v>0</v>
      </c>
      <c r="E47" s="50">
        <v>0</v>
      </c>
      <c r="F47" s="50">
        <f t="shared" si="7"/>
        <v>150</v>
      </c>
      <c r="G47" s="50">
        <f>$C$7</f>
        <v>36</v>
      </c>
      <c r="I47" s="49">
        <v>0.25</v>
      </c>
      <c r="J47" s="49">
        <f>$J$20</f>
        <v>30000</v>
      </c>
    </row>
    <row r="48" spans="1:17" x14ac:dyDescent="0.25">
      <c r="A48" s="1" t="s">
        <v>930</v>
      </c>
      <c r="B48" s="50">
        <f>(2080*(J48+J49))*I48</f>
        <v>8780.7525000000005</v>
      </c>
      <c r="C48" s="50">
        <f t="shared" si="6"/>
        <v>671.72756625</v>
      </c>
      <c r="D48" s="50"/>
      <c r="E48" s="50"/>
      <c r="F48" s="50"/>
      <c r="G48" s="50"/>
      <c r="I48" s="49">
        <v>0.5</v>
      </c>
      <c r="J48" s="55">
        <f>SUM(L41:L44)</f>
        <v>4.11775</v>
      </c>
    </row>
    <row r="49" spans="1:17" x14ac:dyDescent="0.25">
      <c r="B49" s="10"/>
      <c r="C49" s="10">
        <f t="shared" si="6"/>
        <v>0</v>
      </c>
      <c r="D49" s="10"/>
      <c r="E49" s="10"/>
      <c r="F49" s="10"/>
      <c r="G49" s="10"/>
      <c r="I49" s="49"/>
      <c r="J49" s="55">
        <f>SUM(M41:M44)</f>
        <v>4.3252812499999997</v>
      </c>
    </row>
    <row r="50" spans="1:17" ht="21" customHeight="1" thickBot="1" x14ac:dyDescent="0.3">
      <c r="A50" s="40" t="s">
        <v>931</v>
      </c>
      <c r="B50" s="43">
        <f t="shared" ref="B50:G50" si="8">SUM(B40:B49)</f>
        <v>221918.51250000001</v>
      </c>
      <c r="C50" s="43">
        <f t="shared" si="8"/>
        <v>16976.766206250002</v>
      </c>
      <c r="D50" s="43">
        <f t="shared" si="8"/>
        <v>31944.720000000001</v>
      </c>
      <c r="E50" s="43">
        <f t="shared" si="8"/>
        <v>50232.110999999997</v>
      </c>
      <c r="F50" s="43">
        <f t="shared" si="8"/>
        <v>4262.7552000000005</v>
      </c>
      <c r="G50" s="43">
        <f t="shared" si="8"/>
        <v>108</v>
      </c>
      <c r="H50" s="43">
        <f>SUM(B50:G50)</f>
        <v>325442.86490624998</v>
      </c>
    </row>
    <row r="51" spans="1:17" ht="15.75" thickTop="1" x14ac:dyDescent="0.25">
      <c r="A51" s="1" t="s">
        <v>915</v>
      </c>
      <c r="B51" s="51">
        <f>_xlfn.XLOOKUP(B38,'Master Budget'!$G$4:$G$360,'Master Budget'!$L$4:$L$360,0)</f>
        <v>221918.51250000001</v>
      </c>
      <c r="C51" s="51">
        <f>_xlfn.XLOOKUP(C38,'Master Budget'!$G$4:$G$360,'Master Budget'!$L$4:$L$360,0)</f>
        <v>16976.766206250002</v>
      </c>
      <c r="D51" s="51">
        <f>_xlfn.XLOOKUP(D38,'Master Budget'!$G$4:$G$360,'Master Budget'!$L$4:$L$360,0)</f>
        <v>31944.720000000001</v>
      </c>
      <c r="E51" s="51">
        <f>_xlfn.XLOOKUP(E38,'Master Budget'!$G$4:$G$360,'Master Budget'!$L$4:$L$360,0)</f>
        <v>50232.110999999997</v>
      </c>
      <c r="F51" s="51">
        <f>_xlfn.XLOOKUP(F38,'Master Budget'!$G$4:$G$360,'Master Budget'!$L$4:$L$360,0)</f>
        <v>4262.7552000000005</v>
      </c>
      <c r="G51" s="51">
        <f>_xlfn.XLOOKUP(G38,'Master Budget'!$G$4:$G$360,'Master Budget'!$L$4:$L$360,0)</f>
        <v>108</v>
      </c>
    </row>
    <row r="52" spans="1:17" x14ac:dyDescent="0.25">
      <c r="B52" s="52">
        <f t="shared" ref="B52:G52" si="9">B50-B51</f>
        <v>0</v>
      </c>
      <c r="C52" s="52">
        <f t="shared" si="9"/>
        <v>0</v>
      </c>
      <c r="D52" s="52">
        <f t="shared" si="9"/>
        <v>0</v>
      </c>
      <c r="E52" s="52">
        <f t="shared" si="9"/>
        <v>0</v>
      </c>
      <c r="F52" s="52">
        <f t="shared" si="9"/>
        <v>0</v>
      </c>
      <c r="G52" s="52">
        <f t="shared" si="9"/>
        <v>0</v>
      </c>
    </row>
    <row r="53" spans="1:17" x14ac:dyDescent="0.25">
      <c r="B53" s="10"/>
      <c r="C53" s="10"/>
      <c r="D53" s="10"/>
      <c r="E53" s="10"/>
      <c r="F53" s="10"/>
      <c r="G53" s="10"/>
    </row>
    <row r="54" spans="1:17" x14ac:dyDescent="0.25">
      <c r="A54" s="40" t="s">
        <v>898</v>
      </c>
      <c r="B54" s="41" t="s">
        <v>733</v>
      </c>
      <c r="C54" s="41" t="s">
        <v>735</v>
      </c>
      <c r="D54" s="41" t="s">
        <v>736</v>
      </c>
      <c r="E54" s="41" t="s">
        <v>737</v>
      </c>
      <c r="F54" s="41" t="s">
        <v>738</v>
      </c>
      <c r="G54" s="41" t="s">
        <v>740</v>
      </c>
      <c r="I54" s="47" t="s">
        <v>899</v>
      </c>
      <c r="J54" s="47" t="s">
        <v>899</v>
      </c>
      <c r="P54" s="1" t="s">
        <v>733</v>
      </c>
      <c r="Q54" s="10">
        <f t="shared" ref="Q54:Q59" si="10">_xlfn.XLOOKUP(P54,$B$54:$G$54,$B$66:$G$66,0)</f>
        <v>221514.31</v>
      </c>
    </row>
    <row r="55" spans="1:17" x14ac:dyDescent="0.25">
      <c r="A55" s="7" t="s">
        <v>932</v>
      </c>
      <c r="B55" s="5" t="s">
        <v>900</v>
      </c>
      <c r="C55" s="5" t="s">
        <v>901</v>
      </c>
      <c r="D55" s="5" t="s">
        <v>106</v>
      </c>
      <c r="E55" s="5" t="s">
        <v>902</v>
      </c>
      <c r="F55" s="5" t="s">
        <v>903</v>
      </c>
      <c r="G55" s="5" t="s">
        <v>114</v>
      </c>
      <c r="H55" s="5" t="s">
        <v>904</v>
      </c>
      <c r="I55" s="5" t="s">
        <v>905</v>
      </c>
      <c r="J55" s="6" t="s">
        <v>906</v>
      </c>
      <c r="L55" s="1">
        <v>2.5000000000000001E-2</v>
      </c>
      <c r="M55" s="1">
        <v>2.5000000000000001E-2</v>
      </c>
      <c r="P55" s="1" t="s">
        <v>735</v>
      </c>
      <c r="Q55" s="10">
        <f t="shared" si="10"/>
        <v>16945.844714999999</v>
      </c>
    </row>
    <row r="56" spans="1:17" x14ac:dyDescent="0.25">
      <c r="A56" s="1" t="s">
        <v>923</v>
      </c>
      <c r="B56" s="50">
        <f>J56*I56</f>
        <v>67500</v>
      </c>
      <c r="C56" s="50">
        <f t="shared" ref="C56:C65" si="11">B56*$F$6</f>
        <v>5163.75</v>
      </c>
      <c r="D56" s="50">
        <f>(B56*$F$5)</f>
        <v>13500</v>
      </c>
      <c r="E56" s="50" cm="1">
        <f t="array" ref="E56">SUM(($C$4:$C$5)+(B56*$B$6))*I56</f>
        <v>12649.5</v>
      </c>
      <c r="F56" s="50">
        <f t="shared" ref="F56:F63" si="12">B56*$F$4</f>
        <v>1350</v>
      </c>
      <c r="G56" s="50">
        <f>$C$7/2</f>
        <v>18</v>
      </c>
      <c r="I56" s="49">
        <v>0.5</v>
      </c>
      <c r="J56" s="49">
        <v>135000</v>
      </c>
      <c r="P56" s="1" t="s">
        <v>736</v>
      </c>
      <c r="Q56" s="10">
        <f t="shared" si="10"/>
        <v>31944.720000000001</v>
      </c>
    </row>
    <row r="57" spans="1:17" x14ac:dyDescent="0.25">
      <c r="A57" s="1" t="s">
        <v>924</v>
      </c>
      <c r="B57" s="50">
        <f>(52*25*J57)*I57</f>
        <v>19136</v>
      </c>
      <c r="C57" s="50">
        <f t="shared" si="11"/>
        <v>1463.904</v>
      </c>
      <c r="D57" s="50"/>
      <c r="E57" s="50"/>
      <c r="F57" s="50">
        <f t="shared" si="12"/>
        <v>382.72</v>
      </c>
      <c r="G57" s="50"/>
      <c r="H57" s="1" t="s">
        <v>925</v>
      </c>
      <c r="I57" s="49">
        <v>0.5</v>
      </c>
      <c r="J57" s="49">
        <v>29.44</v>
      </c>
      <c r="L57" s="54">
        <f>J57*L55</f>
        <v>0.7360000000000001</v>
      </c>
      <c r="M57" s="54">
        <f>(J57+L57)*M55</f>
        <v>0.75440000000000007</v>
      </c>
      <c r="P57" s="1" t="s">
        <v>737</v>
      </c>
      <c r="Q57" s="10">
        <f t="shared" si="10"/>
        <v>50232.110999999997</v>
      </c>
    </row>
    <row r="58" spans="1:17" x14ac:dyDescent="0.25">
      <c r="A58" s="1" t="s">
        <v>926</v>
      </c>
      <c r="B58" s="50">
        <f>(52*12*J58)*I58</f>
        <v>7778.16</v>
      </c>
      <c r="C58" s="50">
        <f t="shared" si="11"/>
        <v>595.02923999999996</v>
      </c>
      <c r="D58" s="50"/>
      <c r="E58" s="50"/>
      <c r="F58" s="50">
        <f t="shared" si="12"/>
        <v>155.56319999999999</v>
      </c>
      <c r="G58" s="50"/>
      <c r="H58" s="1" t="s">
        <v>927</v>
      </c>
      <c r="I58" s="49">
        <v>0.5</v>
      </c>
      <c r="J58" s="49">
        <v>24.93</v>
      </c>
      <c r="L58" s="54">
        <f>J58*L55</f>
        <v>0.62325000000000008</v>
      </c>
      <c r="M58" s="54">
        <f>(L58+J58)*M55</f>
        <v>0.63883124999999996</v>
      </c>
      <c r="P58" s="1" t="s">
        <v>738</v>
      </c>
      <c r="Q58" s="10">
        <f t="shared" si="10"/>
        <v>4262.7552000000005</v>
      </c>
    </row>
    <row r="59" spans="1:17" x14ac:dyDescent="0.25">
      <c r="A59" s="1" t="str">
        <f>"Staff (FT-"&amp;I59&amp;")"</f>
        <v>Staff (FT-2)</v>
      </c>
      <c r="B59" s="50">
        <f>(2080*J59)*I59/2</f>
        <v>55473.600000000006</v>
      </c>
      <c r="C59" s="50">
        <f t="shared" si="11"/>
        <v>4243.7304000000004</v>
      </c>
      <c r="D59" s="50">
        <f>(B59*$F$5)</f>
        <v>11094.720000000001</v>
      </c>
      <c r="E59" s="50" cm="1">
        <f t="array" ref="E59">SUM(($C$4:$C$5)+(B59*$B$6))</f>
        <v>25178.735999999997</v>
      </c>
      <c r="F59" s="50">
        <f t="shared" si="12"/>
        <v>1109.4720000000002</v>
      </c>
      <c r="G59" s="50">
        <f>$C$7</f>
        <v>36</v>
      </c>
      <c r="I59" s="49">
        <v>2</v>
      </c>
      <c r="J59" s="49">
        <v>26.67</v>
      </c>
      <c r="L59" s="54">
        <f>J59*L55*2</f>
        <v>1.3335000000000001</v>
      </c>
      <c r="M59" s="54">
        <f>(L59+J59)*M55*2</f>
        <v>1.4001750000000002</v>
      </c>
      <c r="P59" s="1" t="s">
        <v>740</v>
      </c>
      <c r="Q59" s="10">
        <f t="shared" si="10"/>
        <v>72</v>
      </c>
    </row>
    <row r="60" spans="1:17" x14ac:dyDescent="0.25">
      <c r="A60" s="78" t="str">
        <f>"Staff (PT-"&amp;I60&amp;")"</f>
        <v>Staff (PT-2)</v>
      </c>
      <c r="B60" s="79">
        <f>(1000*J60)*I60/2</f>
        <v>19000</v>
      </c>
      <c r="C60" s="79">
        <f t="shared" si="11"/>
        <v>1453.5</v>
      </c>
      <c r="D60" s="79"/>
      <c r="E60" s="79"/>
      <c r="F60" s="79">
        <f t="shared" si="12"/>
        <v>380</v>
      </c>
      <c r="G60" s="79"/>
      <c r="H60" s="78" t="s">
        <v>933</v>
      </c>
      <c r="I60" s="49">
        <v>2</v>
      </c>
      <c r="J60" s="49">
        <v>19</v>
      </c>
      <c r="L60" s="54">
        <f>J60*L55*3</f>
        <v>1.425</v>
      </c>
      <c r="M60" s="54">
        <f>(L60+J60)*M55*3</f>
        <v>1.5318749999999999</v>
      </c>
    </row>
    <row r="61" spans="1:17" x14ac:dyDescent="0.25">
      <c r="A61" s="1" t="s">
        <v>911</v>
      </c>
      <c r="B61" s="50">
        <f>J61*I61</f>
        <v>19500</v>
      </c>
      <c r="C61" s="50">
        <f t="shared" si="11"/>
        <v>1491.75</v>
      </c>
      <c r="D61" s="50">
        <f>(B61*$F$5)</f>
        <v>3900</v>
      </c>
      <c r="E61" s="50" cm="1">
        <f t="array" ref="E61">SUM(($C$4:$C$5)+(B61*$B$6))*I61</f>
        <v>6204.75</v>
      </c>
      <c r="F61" s="50">
        <f t="shared" si="12"/>
        <v>390</v>
      </c>
      <c r="G61" s="50">
        <f>$C$7*I61</f>
        <v>9</v>
      </c>
      <c r="I61" s="49">
        <v>0.25</v>
      </c>
      <c r="J61" s="49">
        <f>$J$18</f>
        <v>78000</v>
      </c>
    </row>
    <row r="62" spans="1:17" x14ac:dyDescent="0.25">
      <c r="A62" s="78" t="s">
        <v>912</v>
      </c>
      <c r="B62" s="79">
        <f>J62*I62</f>
        <v>17250</v>
      </c>
      <c r="C62" s="79">
        <f t="shared" si="11"/>
        <v>1319.625</v>
      </c>
      <c r="D62" s="79">
        <f>(B62*$F$5)</f>
        <v>3450</v>
      </c>
      <c r="E62" s="79" cm="1">
        <f t="array" ref="E62">SUM(($C$4:$C$5)+(B62*$B$6))*I62</f>
        <v>6199.125</v>
      </c>
      <c r="F62" s="79">
        <f t="shared" si="12"/>
        <v>345</v>
      </c>
      <c r="G62" s="79">
        <f>$C$7*I62</f>
        <v>9</v>
      </c>
      <c r="H62" s="78"/>
      <c r="I62" s="49">
        <v>0.25</v>
      </c>
      <c r="J62" s="49">
        <v>69000</v>
      </c>
    </row>
    <row r="63" spans="1:17" x14ac:dyDescent="0.25">
      <c r="A63" s="1" t="s">
        <v>913</v>
      </c>
      <c r="B63" s="50">
        <f>J63*I63</f>
        <v>7500</v>
      </c>
      <c r="C63" s="50">
        <f t="shared" si="11"/>
        <v>573.75</v>
      </c>
      <c r="D63" s="50"/>
      <c r="E63" s="50"/>
      <c r="F63" s="50">
        <f t="shared" si="12"/>
        <v>150</v>
      </c>
      <c r="G63" s="50"/>
      <c r="I63" s="49">
        <v>0.25</v>
      </c>
      <c r="J63" s="49">
        <f>$J$20</f>
        <v>30000</v>
      </c>
    </row>
    <row r="64" spans="1:17" x14ac:dyDescent="0.25">
      <c r="A64" s="1" t="s">
        <v>930</v>
      </c>
      <c r="B64" s="50">
        <f>J64*I64</f>
        <v>8376.5499999999993</v>
      </c>
      <c r="C64" s="50">
        <f t="shared" si="11"/>
        <v>640.80607499999996</v>
      </c>
      <c r="D64" s="50"/>
      <c r="E64" s="50"/>
      <c r="F64" s="50"/>
      <c r="G64" s="50"/>
      <c r="I64" s="49">
        <v>0.5</v>
      </c>
      <c r="J64" s="49">
        <v>16753.099999999999</v>
      </c>
    </row>
    <row r="65" spans="1:10" x14ac:dyDescent="0.25">
      <c r="B65" s="50"/>
      <c r="C65" s="50">
        <f t="shared" si="11"/>
        <v>0</v>
      </c>
      <c r="D65" s="50"/>
      <c r="E65" s="50"/>
      <c r="F65" s="50"/>
      <c r="G65" s="50"/>
      <c r="I65" s="49"/>
      <c r="J65" s="55">
        <f>SUM(L57:L60)</f>
        <v>4.11775</v>
      </c>
    </row>
    <row r="66" spans="1:10" ht="21" customHeight="1" thickBot="1" x14ac:dyDescent="0.3">
      <c r="A66" s="40" t="s">
        <v>934</v>
      </c>
      <c r="B66" s="43">
        <f t="shared" ref="B66:G66" si="13">SUM(B56:B65)</f>
        <v>221514.31</v>
      </c>
      <c r="C66" s="43">
        <f t="shared" si="13"/>
        <v>16945.844714999999</v>
      </c>
      <c r="D66" s="43">
        <f t="shared" si="13"/>
        <v>31944.720000000001</v>
      </c>
      <c r="E66" s="43">
        <f t="shared" si="13"/>
        <v>50232.110999999997</v>
      </c>
      <c r="F66" s="43">
        <f t="shared" si="13"/>
        <v>4262.7552000000005</v>
      </c>
      <c r="G66" s="43">
        <f t="shared" si="13"/>
        <v>72</v>
      </c>
      <c r="H66" s="43">
        <f>SUM(B66:G66)</f>
        <v>324971.74091500003</v>
      </c>
      <c r="J66" s="55">
        <f>SUM(M57:M60)</f>
        <v>4.3252812499999997</v>
      </c>
    </row>
    <row r="67" spans="1:10" ht="15.75" thickTop="1" x14ac:dyDescent="0.25">
      <c r="A67" s="1" t="s">
        <v>915</v>
      </c>
      <c r="B67" s="51">
        <f>_xlfn.XLOOKUP(B54,'Master Budget'!$G$4:$G$360,'Master Budget'!$L$4:$L$360,0)</f>
        <v>221514.31</v>
      </c>
      <c r="C67" s="51">
        <f>_xlfn.XLOOKUP(C54,'Master Budget'!$G$4:$G$360,'Master Budget'!$L$4:$L$360,0)</f>
        <v>16945.844714999999</v>
      </c>
      <c r="D67" s="51">
        <f>_xlfn.XLOOKUP(D54,'Master Budget'!$G$4:$G$360,'Master Budget'!$L$4:$L$360,0)</f>
        <v>31944.720000000001</v>
      </c>
      <c r="E67" s="51">
        <f>_xlfn.XLOOKUP(E54,'Master Budget'!$G$4:$G$360,'Master Budget'!$L$4:$L$360,0)</f>
        <v>50232.110999999997</v>
      </c>
      <c r="F67" s="51">
        <f>_xlfn.XLOOKUP(F54,'Master Budget'!$G$4:$G$360,'Master Budget'!$L$4:$L$360,0)</f>
        <v>4262.7552000000005</v>
      </c>
      <c r="G67" s="51">
        <f>_xlfn.XLOOKUP(G54,'Master Budget'!$G$4:$G$360,'Master Budget'!$L$4:$L$360,0)</f>
        <v>72</v>
      </c>
    </row>
    <row r="68" spans="1:10" x14ac:dyDescent="0.25">
      <c r="B68" s="52">
        <f t="shared" ref="B68:G68" si="14">B66-B67</f>
        <v>0</v>
      </c>
      <c r="C68" s="52">
        <f t="shared" si="14"/>
        <v>0</v>
      </c>
      <c r="D68" s="52">
        <f t="shared" si="14"/>
        <v>0</v>
      </c>
      <c r="E68" s="52">
        <f t="shared" si="14"/>
        <v>0</v>
      </c>
      <c r="F68" s="52">
        <f t="shared" si="14"/>
        <v>0</v>
      </c>
      <c r="G68" s="52">
        <f t="shared" si="14"/>
        <v>0</v>
      </c>
      <c r="H68" s="56">
        <f>SUM(H66,H50,H34,H22)</f>
        <v>2205010.35582125</v>
      </c>
    </row>
    <row r="69" spans="1:10" x14ac:dyDescent="0.25">
      <c r="B69" s="10"/>
      <c r="C69" s="10"/>
      <c r="D69" s="10"/>
      <c r="E69" s="10"/>
      <c r="F69" s="10"/>
      <c r="G69" s="10"/>
    </row>
    <row r="70" spans="1:10" x14ac:dyDescent="0.25">
      <c r="A70" s="1" t="s">
        <v>1154</v>
      </c>
      <c r="B70" s="10"/>
      <c r="C70" s="10"/>
      <c r="D70" s="10"/>
      <c r="E70" s="10"/>
      <c r="F70" s="10"/>
      <c r="G70" s="10"/>
    </row>
  </sheetData>
  <pageMargins left="0.7" right="0.7" top="0.75" bottom="0.75" header="0.3" footer="0.3"/>
  <pageSetup scale="6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5EB9-8A52-473F-AF9D-7AC74A674183}">
  <sheetPr>
    <tabColor theme="8" tint="0.59999389629810485"/>
    <pageSetUpPr fitToPage="1"/>
  </sheetPr>
  <dimension ref="A1:M55"/>
  <sheetViews>
    <sheetView zoomScaleNormal="100" workbookViewId="0">
      <pane xSplit="1" ySplit="4" topLeftCell="B5" activePane="bottomRight" state="frozen"/>
      <selection pane="topRight" activeCell="B5" sqref="B5"/>
      <selection pane="bottomLeft" activeCell="B5" sqref="B5"/>
      <selection pane="bottomRight" activeCell="B5" sqref="B5"/>
    </sheetView>
  </sheetViews>
  <sheetFormatPr defaultRowHeight="15" x14ac:dyDescent="0.25"/>
  <cols>
    <col min="1" max="1" width="34" style="1" customWidth="1"/>
    <col min="2" max="2" width="11" style="1" bestFit="1" customWidth="1"/>
    <col min="3" max="7" width="15.5703125" style="1" customWidth="1"/>
    <col min="8" max="8" width="11.140625" style="1" bestFit="1" customWidth="1"/>
    <col min="9" max="9" width="10.5703125" style="3" customWidth="1"/>
    <col min="10" max="11" width="13.85546875" style="1" customWidth="1"/>
    <col min="12" max="12" width="15.140625" style="1" bestFit="1" customWidth="1"/>
    <col min="13" max="13" width="13.85546875" style="1" customWidth="1"/>
    <col min="14" max="16384" width="9.140625" style="1"/>
  </cols>
  <sheetData>
    <row r="1" spans="1:13" x14ac:dyDescent="0.25">
      <c r="A1" s="1" t="s">
        <v>825</v>
      </c>
      <c r="E1" s="2">
        <f>E13+E22+E33+E45</f>
        <v>10115000</v>
      </c>
      <c r="F1" s="58">
        <f>F13+F22+F33+F45</f>
        <v>9023000</v>
      </c>
      <c r="G1" s="59">
        <f>G13+G22+G33+G45</f>
        <v>25000</v>
      </c>
    </row>
    <row r="2" spans="1:13" x14ac:dyDescent="0.25">
      <c r="A2" s="1" t="s">
        <v>953</v>
      </c>
    </row>
    <row r="4" spans="1:13" x14ac:dyDescent="0.25">
      <c r="A4" s="4" t="s">
        <v>954</v>
      </c>
      <c r="B4" s="5" t="s">
        <v>44</v>
      </c>
      <c r="C4" s="5" t="s">
        <v>955</v>
      </c>
      <c r="D4" s="5" t="s">
        <v>956</v>
      </c>
      <c r="E4" s="5" t="s">
        <v>957</v>
      </c>
      <c r="F4" s="5" t="s">
        <v>958</v>
      </c>
      <c r="G4" s="5" t="s">
        <v>960</v>
      </c>
      <c r="J4" s="6" t="str">
        <f>D4</f>
        <v>FY23</v>
      </c>
      <c r="K4" s="6" t="str">
        <f>E4</f>
        <v>FY23 Amended</v>
      </c>
      <c r="L4" s="6" t="str">
        <f>F4</f>
        <v>FY24</v>
      </c>
      <c r="M4" s="6" t="str">
        <f>G4</f>
        <v>FY25</v>
      </c>
    </row>
    <row r="5" spans="1:13" x14ac:dyDescent="0.25">
      <c r="B5" s="6"/>
      <c r="C5" s="6"/>
      <c r="D5" s="6"/>
      <c r="E5" s="6"/>
      <c r="F5" s="6"/>
    </row>
    <row r="6" spans="1:13" x14ac:dyDescent="0.25">
      <c r="A6" s="7" t="s">
        <v>32</v>
      </c>
      <c r="I6" s="3" t="s">
        <v>343</v>
      </c>
      <c r="J6" s="10">
        <f>D13</f>
        <v>365000</v>
      </c>
      <c r="K6" s="10">
        <f>E13</f>
        <v>5867000</v>
      </c>
      <c r="L6" s="10">
        <f>F13</f>
        <v>40000</v>
      </c>
      <c r="M6" s="10">
        <f>G13</f>
        <v>0</v>
      </c>
    </row>
    <row r="7" spans="1:13" x14ac:dyDescent="0.25">
      <c r="A7" s="9" t="s">
        <v>965</v>
      </c>
      <c r="B7" s="10"/>
      <c r="C7" s="33">
        <v>0</v>
      </c>
      <c r="D7" s="33">
        <v>295000</v>
      </c>
      <c r="E7" s="33">
        <v>412000</v>
      </c>
      <c r="F7" s="33">
        <v>0</v>
      </c>
      <c r="G7" s="10"/>
      <c r="I7" s="3" t="s">
        <v>440</v>
      </c>
      <c r="J7" s="10">
        <f>D22</f>
        <v>0</v>
      </c>
      <c r="K7" s="10">
        <f>E22</f>
        <v>0</v>
      </c>
      <c r="L7" s="10">
        <f>F22</f>
        <v>0</v>
      </c>
      <c r="M7" s="10">
        <f>G22</f>
        <v>0</v>
      </c>
    </row>
    <row r="8" spans="1:13" x14ac:dyDescent="0.25">
      <c r="A8" s="9" t="s">
        <v>966</v>
      </c>
      <c r="B8" s="10"/>
      <c r="C8" s="10"/>
      <c r="D8" s="10"/>
      <c r="E8" s="10">
        <v>285000</v>
      </c>
      <c r="F8" s="10"/>
      <c r="G8" s="10"/>
      <c r="I8" s="11" t="s">
        <v>672</v>
      </c>
      <c r="J8" s="10">
        <f>D33</f>
        <v>150000</v>
      </c>
      <c r="K8" s="10">
        <f>E33</f>
        <v>482000</v>
      </c>
      <c r="L8" s="10">
        <f>F33</f>
        <v>3800000</v>
      </c>
      <c r="M8" s="10">
        <f>G33</f>
        <v>25000</v>
      </c>
    </row>
    <row r="9" spans="1:13" x14ac:dyDescent="0.25">
      <c r="A9" s="9" t="s">
        <v>968</v>
      </c>
      <c r="B9" s="10"/>
      <c r="C9" s="10">
        <v>0</v>
      </c>
      <c r="D9" s="10">
        <v>0</v>
      </c>
      <c r="E9" s="10">
        <v>0</v>
      </c>
      <c r="F9" s="10"/>
      <c r="G9" s="10"/>
      <c r="I9" s="11" t="s">
        <v>788</v>
      </c>
      <c r="J9" s="10">
        <f>D45</f>
        <v>3766000</v>
      </c>
      <c r="K9" s="10">
        <f>E45</f>
        <v>3766000</v>
      </c>
      <c r="L9" s="10">
        <f>F45</f>
        <v>5183000</v>
      </c>
      <c r="M9" s="10">
        <f>G45</f>
        <v>0</v>
      </c>
    </row>
    <row r="10" spans="1:13" x14ac:dyDescent="0.25">
      <c r="A10" s="9" t="s">
        <v>974</v>
      </c>
      <c r="B10" s="10"/>
      <c r="C10" s="10">
        <v>0</v>
      </c>
      <c r="D10" s="10">
        <v>70000</v>
      </c>
      <c r="E10" s="10">
        <v>70000</v>
      </c>
      <c r="F10" s="10">
        <v>40000</v>
      </c>
      <c r="G10" s="10"/>
      <c r="I10" s="11" t="s">
        <v>811</v>
      </c>
      <c r="J10" s="10">
        <f>D52</f>
        <v>0</v>
      </c>
      <c r="K10" s="10">
        <f>E52</f>
        <v>0</v>
      </c>
      <c r="L10" s="10">
        <f>F52</f>
        <v>0</v>
      </c>
      <c r="M10" s="10">
        <f>G52</f>
        <v>0</v>
      </c>
    </row>
    <row r="11" spans="1:13" ht="15.75" thickBot="1" x14ac:dyDescent="0.3">
      <c r="A11" s="9" t="s">
        <v>975</v>
      </c>
      <c r="B11" s="10"/>
      <c r="C11" s="10"/>
      <c r="D11" s="10"/>
      <c r="E11" s="10">
        <v>100000</v>
      </c>
      <c r="F11" s="10">
        <v>0</v>
      </c>
      <c r="G11" s="10"/>
      <c r="I11" s="11"/>
      <c r="J11" s="60">
        <f>SUM(J6:J10)</f>
        <v>4281000</v>
      </c>
      <c r="K11" s="60">
        <f>SUM(K6:K10)</f>
        <v>10115000</v>
      </c>
      <c r="L11" s="60">
        <f>SUM(L6:L10)</f>
        <v>9023000</v>
      </c>
      <c r="M11" s="60">
        <f>SUM(M6:M10)</f>
        <v>25000</v>
      </c>
    </row>
    <row r="12" spans="1:13" ht="15.75" thickTop="1" x14ac:dyDescent="0.25">
      <c r="A12" s="9" t="s">
        <v>977</v>
      </c>
      <c r="B12" s="10"/>
      <c r="C12" s="10"/>
      <c r="D12" s="10"/>
      <c r="E12" s="10">
        <v>5000000</v>
      </c>
      <c r="F12" s="10"/>
      <c r="G12" s="10"/>
    </row>
    <row r="13" spans="1:13" ht="15.75" thickBot="1" x14ac:dyDescent="0.3">
      <c r="A13" s="9" t="s">
        <v>978</v>
      </c>
      <c r="B13" s="3" t="s">
        <v>343</v>
      </c>
      <c r="C13" s="61">
        <f>SUM(C7:C12)</f>
        <v>0</v>
      </c>
      <c r="D13" s="61">
        <f>SUM(D7:D12)</f>
        <v>365000</v>
      </c>
      <c r="E13" s="61">
        <f>SUM(E7:E12)</f>
        <v>5867000</v>
      </c>
      <c r="F13" s="61">
        <f>SUM(F7:F12)</f>
        <v>40000</v>
      </c>
      <c r="G13" s="61">
        <f>SUM(G7:G12)</f>
        <v>0</v>
      </c>
      <c r="J13" s="17">
        <f>J11-D55</f>
        <v>0</v>
      </c>
      <c r="K13" s="17">
        <f>K11-E55</f>
        <v>0</v>
      </c>
      <c r="L13" s="17">
        <f>L11-F55</f>
        <v>0</v>
      </c>
      <c r="M13" s="17">
        <f>M11-G55</f>
        <v>0</v>
      </c>
    </row>
    <row r="14" spans="1:13" ht="15.75" thickTop="1" x14ac:dyDescent="0.25">
      <c r="A14" s="18"/>
      <c r="B14" s="10"/>
      <c r="C14" s="35"/>
      <c r="D14" s="35"/>
      <c r="E14" s="35"/>
      <c r="F14" s="35"/>
      <c r="G14" s="10"/>
    </row>
    <row r="15" spans="1:13" x14ac:dyDescent="0.25">
      <c r="B15" s="10"/>
      <c r="C15" s="10"/>
      <c r="D15" s="10"/>
      <c r="E15" s="10"/>
      <c r="F15" s="10"/>
      <c r="G15" s="10"/>
    </row>
    <row r="16" spans="1:13" x14ac:dyDescent="0.25">
      <c r="A16" s="7" t="s">
        <v>979</v>
      </c>
      <c r="B16" s="10"/>
      <c r="G16" s="10"/>
    </row>
    <row r="17" spans="1:9" x14ac:dyDescent="0.25">
      <c r="A17" s="9" t="s">
        <v>980</v>
      </c>
      <c r="B17" s="10"/>
      <c r="C17" s="33">
        <v>0</v>
      </c>
      <c r="D17" s="33">
        <v>0</v>
      </c>
      <c r="E17" s="33"/>
      <c r="F17" s="33"/>
      <c r="G17" s="10"/>
    </row>
    <row r="18" spans="1:9" x14ac:dyDescent="0.25">
      <c r="A18" s="9"/>
      <c r="B18" s="10"/>
      <c r="C18" s="10"/>
      <c r="D18" s="10"/>
      <c r="E18" s="10"/>
      <c r="F18" s="10"/>
      <c r="G18" s="10"/>
      <c r="I18" s="11"/>
    </row>
    <row r="19" spans="1:9" x14ac:dyDescent="0.25">
      <c r="A19" s="9"/>
      <c r="B19" s="10"/>
      <c r="C19" s="10"/>
      <c r="D19" s="10"/>
      <c r="E19" s="10"/>
      <c r="F19" s="10"/>
      <c r="G19" s="10"/>
      <c r="I19" s="11"/>
    </row>
    <row r="20" spans="1:9" x14ac:dyDescent="0.25">
      <c r="A20" s="9"/>
      <c r="B20" s="10"/>
      <c r="C20" s="10"/>
      <c r="D20" s="10"/>
      <c r="E20" s="10"/>
      <c r="F20" s="10"/>
      <c r="G20" s="10"/>
      <c r="I20" s="11"/>
    </row>
    <row r="21" spans="1:9" x14ac:dyDescent="0.25">
      <c r="A21" s="9"/>
      <c r="B21" s="10"/>
      <c r="C21" s="10"/>
      <c r="D21" s="10"/>
      <c r="E21" s="10"/>
      <c r="F21" s="10"/>
      <c r="G21" s="10"/>
      <c r="I21" s="11"/>
    </row>
    <row r="22" spans="1:9" ht="15.75" thickBot="1" x14ac:dyDescent="0.3">
      <c r="A22" s="9" t="s">
        <v>978</v>
      </c>
      <c r="B22" s="3" t="s">
        <v>440</v>
      </c>
      <c r="C22" s="61">
        <f>SUM(C17:C21)</f>
        <v>0</v>
      </c>
      <c r="D22" s="61">
        <f>SUM(D17:D21)</f>
        <v>0</v>
      </c>
      <c r="E22" s="61">
        <f>SUM(E17:E21)</f>
        <v>0</v>
      </c>
      <c r="F22" s="61">
        <f>SUM(F17:F21)</f>
        <v>0</v>
      </c>
      <c r="G22" s="61">
        <f>SUM(G17:G21)</f>
        <v>0</v>
      </c>
      <c r="I22" s="11"/>
    </row>
    <row r="23" spans="1:9" ht="15.75" thickTop="1" x14ac:dyDescent="0.25">
      <c r="A23" s="18"/>
      <c r="B23" s="10"/>
      <c r="C23" s="35"/>
      <c r="D23" s="35"/>
      <c r="E23" s="35"/>
      <c r="F23" s="35"/>
      <c r="G23" s="10"/>
      <c r="I23" s="11"/>
    </row>
    <row r="24" spans="1:9" x14ac:dyDescent="0.25">
      <c r="B24" s="10"/>
      <c r="C24" s="10"/>
      <c r="D24" s="10"/>
      <c r="E24" s="10"/>
      <c r="F24" s="10"/>
      <c r="G24" s="10"/>
      <c r="I24" s="11"/>
    </row>
    <row r="25" spans="1:9" x14ac:dyDescent="0.25">
      <c r="A25" s="7" t="s">
        <v>33</v>
      </c>
      <c r="B25" s="10"/>
      <c r="G25" s="10"/>
      <c r="I25" s="11"/>
    </row>
    <row r="26" spans="1:9" x14ac:dyDescent="0.25">
      <c r="A26" s="9" t="s">
        <v>988</v>
      </c>
      <c r="B26" s="10"/>
      <c r="C26" s="33">
        <v>0</v>
      </c>
      <c r="D26" s="33">
        <v>100000</v>
      </c>
      <c r="E26" s="33">
        <v>100000</v>
      </c>
      <c r="F26" s="33">
        <v>100000</v>
      </c>
      <c r="G26" s="10">
        <v>25000</v>
      </c>
      <c r="H26" s="10"/>
      <c r="I26" s="11"/>
    </row>
    <row r="27" spans="1:9" x14ac:dyDescent="0.25">
      <c r="A27" s="9" t="s">
        <v>989</v>
      </c>
      <c r="B27" s="10"/>
      <c r="C27" s="10"/>
      <c r="D27" s="10">
        <v>50000</v>
      </c>
      <c r="E27" s="22">
        <v>82000</v>
      </c>
      <c r="F27" s="10">
        <v>0</v>
      </c>
      <c r="G27" s="10"/>
      <c r="H27" s="10"/>
      <c r="I27" s="11"/>
    </row>
    <row r="28" spans="1:9" x14ac:dyDescent="0.25">
      <c r="A28" s="9" t="s">
        <v>991</v>
      </c>
      <c r="B28" s="10"/>
      <c r="C28" s="10">
        <v>55000</v>
      </c>
      <c r="D28" s="10">
        <v>0</v>
      </c>
      <c r="E28" s="10"/>
      <c r="F28" s="10"/>
      <c r="G28" s="10"/>
      <c r="H28" s="10"/>
      <c r="I28" s="11"/>
    </row>
    <row r="29" spans="1:9" x14ac:dyDescent="0.25">
      <c r="A29" s="9" t="s">
        <v>993</v>
      </c>
      <c r="B29" s="10"/>
      <c r="C29" s="10">
        <v>1000000</v>
      </c>
      <c r="D29" s="10"/>
      <c r="E29" s="10"/>
      <c r="F29" s="10"/>
      <c r="G29" s="10"/>
      <c r="H29" s="10"/>
      <c r="I29" s="11"/>
    </row>
    <row r="30" spans="1:9" x14ac:dyDescent="0.25">
      <c r="A30" s="9" t="s">
        <v>995</v>
      </c>
      <c r="B30" s="10"/>
      <c r="C30" s="10"/>
      <c r="D30" s="32"/>
      <c r="E30" s="32">
        <v>50000</v>
      </c>
      <c r="F30" s="32">
        <f>2000000+2000000-E30-E32-F31</f>
        <v>3500000</v>
      </c>
      <c r="G30" s="10"/>
      <c r="H30" s="10"/>
      <c r="I30" s="11"/>
    </row>
    <row r="31" spans="1:9" x14ac:dyDescent="0.25">
      <c r="A31" s="9" t="s">
        <v>997</v>
      </c>
      <c r="B31" s="10"/>
      <c r="C31" s="10"/>
      <c r="D31" s="10"/>
      <c r="E31" s="10"/>
      <c r="F31" s="10">
        <v>200000</v>
      </c>
      <c r="G31" s="10"/>
      <c r="H31" s="10"/>
      <c r="I31" s="11"/>
    </row>
    <row r="32" spans="1:9" x14ac:dyDescent="0.25">
      <c r="A32" s="9" t="s">
        <v>1001</v>
      </c>
      <c r="B32" s="10"/>
      <c r="C32" s="10"/>
      <c r="D32" s="10"/>
      <c r="E32" s="32">
        <v>250000</v>
      </c>
      <c r="F32" s="10"/>
      <c r="G32" s="10"/>
      <c r="H32" s="10"/>
      <c r="I32" s="11"/>
    </row>
    <row r="33" spans="1:9" ht="15.75" thickBot="1" x14ac:dyDescent="0.3">
      <c r="A33" s="9" t="s">
        <v>978</v>
      </c>
      <c r="B33" s="10" t="s">
        <v>672</v>
      </c>
      <c r="C33" s="61">
        <f>SUM(C26:C32)</f>
        <v>1055000</v>
      </c>
      <c r="D33" s="61">
        <f>SUM(D26:D32)</f>
        <v>150000</v>
      </c>
      <c r="E33" s="61">
        <f>SUM(E26:E32)</f>
        <v>482000</v>
      </c>
      <c r="F33" s="61">
        <f>SUM(F26:F32)</f>
        <v>3800000</v>
      </c>
      <c r="G33" s="61">
        <f>SUM(G26:G32)</f>
        <v>25000</v>
      </c>
      <c r="I33" s="11"/>
    </row>
    <row r="34" spans="1:9" ht="15.75" thickTop="1" x14ac:dyDescent="0.25">
      <c r="A34" s="18"/>
      <c r="B34" s="10"/>
      <c r="C34" s="35"/>
      <c r="D34" s="35"/>
      <c r="E34" s="35"/>
      <c r="F34" s="35"/>
      <c r="G34" s="10"/>
      <c r="I34" s="11"/>
    </row>
    <row r="35" spans="1:9" x14ac:dyDescent="0.25">
      <c r="B35" s="10"/>
      <c r="C35" s="10"/>
      <c r="D35" s="10"/>
      <c r="E35" s="10"/>
      <c r="F35" s="10"/>
      <c r="G35" s="10"/>
      <c r="I35" s="11"/>
    </row>
    <row r="36" spans="1:9" x14ac:dyDescent="0.25">
      <c r="A36" s="7" t="s">
        <v>34</v>
      </c>
      <c r="B36" s="10"/>
      <c r="G36" s="10"/>
      <c r="I36" s="11"/>
    </row>
    <row r="37" spans="1:9" x14ac:dyDescent="0.25">
      <c r="A37" s="9" t="s">
        <v>1015</v>
      </c>
      <c r="B37" s="10"/>
      <c r="C37" s="33">
        <v>0</v>
      </c>
      <c r="D37" s="33">
        <v>0</v>
      </c>
      <c r="E37" s="33">
        <v>0</v>
      </c>
      <c r="F37" s="33">
        <v>0</v>
      </c>
      <c r="G37" s="33">
        <v>0</v>
      </c>
      <c r="I37" s="11"/>
    </row>
    <row r="38" spans="1:9" x14ac:dyDescent="0.25">
      <c r="A38" s="9" t="s">
        <v>1016</v>
      </c>
      <c r="B38" s="22"/>
      <c r="C38" s="62">
        <f>SUM(C39:C41)</f>
        <v>234000</v>
      </c>
      <c r="D38" s="62">
        <f>SUM(D39:D41)</f>
        <v>3766000</v>
      </c>
      <c r="E38" s="62">
        <f>SUM(E39:E41)</f>
        <v>3766000</v>
      </c>
      <c r="F38" s="62">
        <f>SUM(F39:F41)</f>
        <v>5183000</v>
      </c>
      <c r="G38" s="62">
        <f>SUM(G39:G41)</f>
        <v>0</v>
      </c>
      <c r="I38" s="11"/>
    </row>
    <row r="39" spans="1:9" x14ac:dyDescent="0.25">
      <c r="A39" s="24" t="s">
        <v>1155</v>
      </c>
      <c r="B39" s="25"/>
      <c r="C39" s="63">
        <f>164000+70000</f>
        <v>234000</v>
      </c>
      <c r="D39" s="63">
        <f>4000000-C39</f>
        <v>3766000</v>
      </c>
      <c r="E39" s="63">
        <f>4000000-C39</f>
        <v>3766000</v>
      </c>
      <c r="F39" s="63">
        <f>4949000+2000000-E39</f>
        <v>3183000</v>
      </c>
      <c r="G39" s="63">
        <v>0</v>
      </c>
      <c r="I39" s="11"/>
    </row>
    <row r="40" spans="1:9" x14ac:dyDescent="0.25">
      <c r="A40" s="24" t="s">
        <v>1018</v>
      </c>
      <c r="B40" s="25"/>
      <c r="C40" s="64"/>
      <c r="D40" s="64"/>
      <c r="E40" s="64"/>
      <c r="F40" s="64">
        <v>2000000</v>
      </c>
      <c r="G40" s="64">
        <v>0</v>
      </c>
      <c r="I40" s="11"/>
    </row>
    <row r="41" spans="1:9" x14ac:dyDescent="0.25">
      <c r="A41" s="28"/>
      <c r="B41" s="10"/>
      <c r="C41" s="10"/>
      <c r="D41" s="10"/>
      <c r="E41" s="10"/>
      <c r="F41" s="10"/>
      <c r="G41" s="10"/>
      <c r="I41" s="11"/>
    </row>
    <row r="42" spans="1:9" x14ac:dyDescent="0.25">
      <c r="A42" s="9" t="s">
        <v>1019</v>
      </c>
      <c r="B42" s="10"/>
      <c r="C42" s="10"/>
      <c r="D42" s="10"/>
      <c r="E42" s="10"/>
      <c r="F42" s="10"/>
      <c r="G42" s="10"/>
      <c r="I42" s="11"/>
    </row>
    <row r="43" spans="1:9" x14ac:dyDescent="0.25">
      <c r="A43" s="9"/>
      <c r="B43" s="10"/>
      <c r="C43" s="10"/>
      <c r="D43" s="10"/>
      <c r="E43" s="10"/>
      <c r="F43" s="10"/>
      <c r="G43" s="10"/>
      <c r="I43" s="11"/>
    </row>
    <row r="44" spans="1:9" x14ac:dyDescent="0.25">
      <c r="A44" s="9"/>
      <c r="B44" s="10"/>
      <c r="C44" s="10"/>
      <c r="D44" s="10"/>
      <c r="E44" s="10"/>
      <c r="F44" s="10"/>
      <c r="G44" s="10"/>
      <c r="I44" s="11"/>
    </row>
    <row r="45" spans="1:9" ht="15.75" thickBot="1" x14ac:dyDescent="0.3">
      <c r="A45" s="9" t="s">
        <v>978</v>
      </c>
      <c r="B45" s="10" t="s">
        <v>788</v>
      </c>
      <c r="C45" s="61">
        <f>SUM(C37:C38,C41:C44)</f>
        <v>234000</v>
      </c>
      <c r="D45" s="61">
        <f>SUM(D37:D38,D41:D44)</f>
        <v>3766000</v>
      </c>
      <c r="E45" s="61">
        <f>SUM(E37:E38,E41:E44)</f>
        <v>3766000</v>
      </c>
      <c r="F45" s="61">
        <f>SUM(F37:F38,F41:F44)</f>
        <v>5183000</v>
      </c>
      <c r="G45" s="61">
        <f>SUM(G37:G38,G41:G44)</f>
        <v>0</v>
      </c>
      <c r="I45" s="11"/>
    </row>
    <row r="46" spans="1:9" ht="15.75" thickTop="1" x14ac:dyDescent="0.25">
      <c r="A46" s="18"/>
      <c r="B46" s="10"/>
      <c r="C46" s="35"/>
      <c r="D46" s="35"/>
      <c r="E46" s="35"/>
      <c r="F46" s="35"/>
      <c r="G46" s="10"/>
      <c r="I46" s="11"/>
    </row>
    <row r="47" spans="1:9" x14ac:dyDescent="0.25">
      <c r="B47" s="10"/>
      <c r="C47" s="10"/>
      <c r="D47" s="10"/>
      <c r="E47" s="10"/>
      <c r="F47" s="10"/>
      <c r="G47" s="10"/>
      <c r="I47" s="11"/>
    </row>
    <row r="48" spans="1:9" x14ac:dyDescent="0.25">
      <c r="A48" s="7" t="s">
        <v>40</v>
      </c>
      <c r="B48" s="10"/>
      <c r="G48" s="10"/>
      <c r="I48" s="11"/>
    </row>
    <row r="49" spans="1:9" x14ac:dyDescent="0.25">
      <c r="A49" s="9" t="s">
        <v>1021</v>
      </c>
      <c r="B49" s="10"/>
      <c r="C49" s="33">
        <v>0</v>
      </c>
      <c r="D49" s="33">
        <v>0</v>
      </c>
      <c r="E49" s="33">
        <v>0</v>
      </c>
      <c r="F49" s="33">
        <v>0</v>
      </c>
      <c r="G49" s="10">
        <v>0</v>
      </c>
      <c r="I49" s="11"/>
    </row>
    <row r="50" spans="1:9" x14ac:dyDescent="0.25">
      <c r="A50" s="9"/>
      <c r="B50" s="10"/>
      <c r="C50" s="33"/>
      <c r="D50" s="33"/>
      <c r="E50" s="33"/>
      <c r="F50" s="33"/>
      <c r="G50" s="10"/>
      <c r="I50" s="11"/>
    </row>
    <row r="51" spans="1:9" x14ac:dyDescent="0.25">
      <c r="A51" s="9"/>
      <c r="B51" s="10"/>
      <c r="C51" s="10"/>
      <c r="D51" s="10"/>
      <c r="E51" s="10"/>
      <c r="F51" s="10"/>
      <c r="G51" s="10"/>
      <c r="I51" s="11"/>
    </row>
    <row r="52" spans="1:9" ht="15.75" thickBot="1" x14ac:dyDescent="0.3">
      <c r="A52" s="9" t="s">
        <v>978</v>
      </c>
      <c r="B52" s="10" t="s">
        <v>811</v>
      </c>
      <c r="C52" s="61">
        <f>SUM(C49:C51)</f>
        <v>0</v>
      </c>
      <c r="D52" s="61">
        <f>SUM(D49:D51)</f>
        <v>0</v>
      </c>
      <c r="E52" s="61">
        <f>SUM(E49:E51)</f>
        <v>0</v>
      </c>
      <c r="F52" s="61">
        <f>SUM(F49:F51)</f>
        <v>0</v>
      </c>
      <c r="G52" s="61">
        <f>SUM(G49:G51)</f>
        <v>0</v>
      </c>
    </row>
    <row r="53" spans="1:9" ht="15.75" thickTop="1" x14ac:dyDescent="0.25">
      <c r="B53" s="10"/>
      <c r="C53" s="10"/>
      <c r="D53" s="10"/>
      <c r="E53" s="10"/>
      <c r="F53" s="10"/>
      <c r="G53" s="10"/>
    </row>
    <row r="54" spans="1:9" x14ac:dyDescent="0.25">
      <c r="B54" s="10"/>
      <c r="C54" s="10"/>
      <c r="D54" s="10"/>
      <c r="E54" s="10"/>
      <c r="F54" s="10"/>
      <c r="G54" s="10"/>
    </row>
    <row r="55" spans="1:9" x14ac:dyDescent="0.25">
      <c r="A55" s="1" t="s">
        <v>1022</v>
      </c>
      <c r="B55" s="10"/>
      <c r="C55" s="10">
        <f>SUM(-C52,C45,C33,C22,C13)</f>
        <v>1289000</v>
      </c>
      <c r="D55" s="10">
        <f>SUM(-D52,D45,D33,D22,D13)</f>
        <v>4281000</v>
      </c>
      <c r="E55" s="10">
        <f>SUM(-E52,E45,E33,E22,E13)</f>
        <v>10115000</v>
      </c>
      <c r="F55" s="10">
        <f>SUM(-F52,F45,F33,F22,F13)</f>
        <v>9023000</v>
      </c>
      <c r="G55" s="10">
        <f>SUM(-G52,G45,G33,G22,G13)</f>
        <v>25000</v>
      </c>
    </row>
  </sheetData>
  <sortState xmlns:xlrd2="http://schemas.microsoft.com/office/spreadsheetml/2017/richdata2" ref="I12:I51">
    <sortCondition ref="I12:I51"/>
  </sortState>
  <pageMargins left="0.7" right="0.7" top="0.75" bottom="0.75" header="0.3" footer="0.3"/>
  <pageSetup scale="73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B7B26-B442-43BA-80F0-8343A454EDA7}">
  <sheetPr>
    <pageSetUpPr fitToPage="1"/>
  </sheetPr>
  <dimension ref="A2:I57"/>
  <sheetViews>
    <sheetView workbookViewId="0">
      <selection activeCell="C29" sqref="C29"/>
    </sheetView>
  </sheetViews>
  <sheetFormatPr defaultColWidth="21.140625" defaultRowHeight="15" x14ac:dyDescent="0.25"/>
  <cols>
    <col min="1" max="1" width="8.85546875" style="1" customWidth="1"/>
    <col min="2" max="2" width="28.7109375" style="1" bestFit="1" customWidth="1"/>
    <col min="3" max="6" width="14" style="1" bestFit="1" customWidth="1"/>
    <col min="7" max="7" width="11.28515625" style="1" bestFit="1" customWidth="1"/>
    <col min="8" max="8" width="5.140625" style="1" bestFit="1" customWidth="1"/>
    <col min="9" max="9" width="7.28515625" style="1" bestFit="1" customWidth="1"/>
    <col min="10" max="16384" width="21.140625" style="1"/>
  </cols>
  <sheetData>
    <row r="2" spans="1:9" x14ac:dyDescent="0.25">
      <c r="A2" s="150" t="s">
        <v>47</v>
      </c>
      <c r="B2" t="s">
        <v>869</v>
      </c>
    </row>
    <row r="4" spans="1:9" x14ac:dyDescent="0.25">
      <c r="A4" s="150" t="s">
        <v>886</v>
      </c>
      <c r="B4"/>
      <c r="C4" s="158" t="s">
        <v>46</v>
      </c>
      <c r="D4" s="159"/>
      <c r="E4" s="159"/>
      <c r="F4" s="159"/>
      <c r="G4" s="159"/>
      <c r="H4"/>
      <c r="I4"/>
    </row>
    <row r="5" spans="1:9" s="7" customFormat="1" x14ac:dyDescent="0.25">
      <c r="A5" s="156" t="s">
        <v>870</v>
      </c>
      <c r="B5" s="156" t="s">
        <v>871</v>
      </c>
      <c r="C5" s="157" t="s">
        <v>872</v>
      </c>
      <c r="D5" s="157" t="s">
        <v>873</v>
      </c>
      <c r="E5" s="157" t="s">
        <v>874</v>
      </c>
      <c r="F5" s="157" t="s">
        <v>875</v>
      </c>
      <c r="G5" s="157" t="s">
        <v>876</v>
      </c>
      <c r="H5"/>
      <c r="I5"/>
    </row>
    <row r="6" spans="1:9" x14ac:dyDescent="0.25">
      <c r="A6">
        <v>0</v>
      </c>
      <c r="B6" t="s">
        <v>880</v>
      </c>
      <c r="C6" s="151"/>
      <c r="D6" s="151">
        <v>0</v>
      </c>
      <c r="E6" s="151">
        <v>0</v>
      </c>
      <c r="F6" s="151"/>
      <c r="G6" s="151"/>
      <c r="H6"/>
      <c r="I6"/>
    </row>
    <row r="7" spans="1:9" x14ac:dyDescent="0.25">
      <c r="A7">
        <v>30</v>
      </c>
      <c r="B7" t="s">
        <v>6</v>
      </c>
      <c r="C7" s="151">
        <v>-1030780</v>
      </c>
      <c r="D7" s="151">
        <v>-1300000</v>
      </c>
      <c r="E7" s="151">
        <v>-752720</v>
      </c>
      <c r="F7" s="151">
        <v>-685480</v>
      </c>
      <c r="G7" s="151">
        <v>-26000</v>
      </c>
      <c r="H7"/>
      <c r="I7"/>
    </row>
    <row r="8" spans="1:9" x14ac:dyDescent="0.25">
      <c r="A8">
        <v>40</v>
      </c>
      <c r="B8" t="s">
        <v>881</v>
      </c>
      <c r="C8" s="151">
        <v>-1300</v>
      </c>
      <c r="D8" s="151"/>
      <c r="E8" s="151"/>
      <c r="F8" s="151"/>
      <c r="G8" s="151"/>
      <c r="H8"/>
      <c r="I8"/>
    </row>
    <row r="9" spans="1:9" x14ac:dyDescent="0.25">
      <c r="A9">
        <v>60</v>
      </c>
      <c r="B9" t="s">
        <v>18</v>
      </c>
      <c r="C9" s="151">
        <v>-15000</v>
      </c>
      <c r="D9" s="151"/>
      <c r="E9" s="151"/>
      <c r="F9" s="151"/>
      <c r="G9" s="151"/>
      <c r="H9"/>
      <c r="I9"/>
    </row>
    <row r="10" spans="1:9" x14ac:dyDescent="0.25">
      <c r="A10">
        <v>70</v>
      </c>
      <c r="B10" t="s">
        <v>20</v>
      </c>
      <c r="C10" s="151">
        <v>-107000</v>
      </c>
      <c r="D10" s="151">
        <v>-50000</v>
      </c>
      <c r="E10" s="151">
        <v>-3700000</v>
      </c>
      <c r="F10" s="151">
        <v>-5183000</v>
      </c>
      <c r="G10" s="151"/>
      <c r="H10"/>
      <c r="I10"/>
    </row>
    <row r="11" spans="1:9" x14ac:dyDescent="0.25">
      <c r="A11">
        <v>100</v>
      </c>
      <c r="B11" t="s">
        <v>9</v>
      </c>
      <c r="C11" s="151">
        <v>1094259.92</v>
      </c>
      <c r="D11" s="151">
        <v>648956.12</v>
      </c>
      <c r="E11" s="151">
        <v>363683</v>
      </c>
      <c r="F11" s="151">
        <v>346744</v>
      </c>
      <c r="G11" s="151"/>
      <c r="H11"/>
      <c r="I11"/>
    </row>
    <row r="12" spans="1:9" x14ac:dyDescent="0.25">
      <c r="A12">
        <v>200</v>
      </c>
      <c r="B12" t="s">
        <v>10</v>
      </c>
      <c r="C12" s="151">
        <v>308181</v>
      </c>
      <c r="D12" s="151">
        <v>98200</v>
      </c>
      <c r="E12" s="151">
        <v>178962</v>
      </c>
      <c r="F12" s="151">
        <v>223700</v>
      </c>
      <c r="G12" s="151">
        <v>22824</v>
      </c>
      <c r="H12"/>
      <c r="I12"/>
    </row>
    <row r="13" spans="1:9" x14ac:dyDescent="0.25">
      <c r="A13">
        <v>500</v>
      </c>
      <c r="B13" t="s">
        <v>11</v>
      </c>
      <c r="C13" s="151">
        <v>44500</v>
      </c>
      <c r="D13" s="151">
        <v>55000</v>
      </c>
      <c r="E13" s="151">
        <v>102850</v>
      </c>
      <c r="F13" s="151">
        <v>42850</v>
      </c>
      <c r="G13" s="151"/>
      <c r="H13"/>
      <c r="I13"/>
    </row>
    <row r="14" spans="1:9" x14ac:dyDescent="0.25">
      <c r="A14">
        <v>600</v>
      </c>
      <c r="B14" t="s">
        <v>13</v>
      </c>
      <c r="C14" s="151">
        <v>0</v>
      </c>
      <c r="D14" s="151"/>
      <c r="E14" s="151">
        <v>0</v>
      </c>
      <c r="F14" s="151"/>
      <c r="G14" s="151">
        <v>0</v>
      </c>
      <c r="H14"/>
      <c r="I14"/>
    </row>
    <row r="15" spans="1:9" x14ac:dyDescent="0.25">
      <c r="A15">
        <v>620</v>
      </c>
      <c r="B15" t="s">
        <v>23</v>
      </c>
      <c r="C15" s="151">
        <v>9000</v>
      </c>
      <c r="D15" s="151"/>
      <c r="E15" s="151">
        <v>91558</v>
      </c>
      <c r="F15" s="151">
        <v>63620</v>
      </c>
      <c r="G15" s="151"/>
      <c r="H15"/>
      <c r="I15"/>
    </row>
    <row r="16" spans="1:9" x14ac:dyDescent="0.25">
      <c r="A16">
        <v>700</v>
      </c>
      <c r="B16" t="s">
        <v>12</v>
      </c>
      <c r="C16" s="151">
        <v>110000</v>
      </c>
      <c r="D16" s="151">
        <v>20000</v>
      </c>
      <c r="E16" s="151">
        <v>87202</v>
      </c>
      <c r="F16" s="151">
        <v>111558</v>
      </c>
      <c r="G16" s="151">
        <v>2122</v>
      </c>
      <c r="H16"/>
      <c r="I16"/>
    </row>
    <row r="17" spans="1:9" x14ac:dyDescent="0.25">
      <c r="A17">
        <v>710</v>
      </c>
      <c r="B17" t="s">
        <v>882</v>
      </c>
      <c r="C17" s="151">
        <v>40000</v>
      </c>
      <c r="D17" s="151">
        <v>0</v>
      </c>
      <c r="E17" s="151">
        <v>3800000</v>
      </c>
      <c r="F17" s="151">
        <v>5866000</v>
      </c>
      <c r="G17" s="151"/>
      <c r="H17"/>
      <c r="I17"/>
    </row>
    <row r="18" spans="1:9" x14ac:dyDescent="0.25">
      <c r="A18">
        <v>720</v>
      </c>
      <c r="B18" t="s">
        <v>883</v>
      </c>
      <c r="C18" s="151">
        <v>0</v>
      </c>
      <c r="D18" s="151">
        <v>0</v>
      </c>
      <c r="E18" s="151">
        <v>0</v>
      </c>
      <c r="F18" s="151">
        <v>0</v>
      </c>
      <c r="G18" s="151"/>
      <c r="H18"/>
      <c r="I18"/>
    </row>
    <row r="19" spans="1:9" x14ac:dyDescent="0.25">
      <c r="A19">
        <v>950</v>
      </c>
      <c r="B19" t="s">
        <v>17</v>
      </c>
      <c r="C19" s="151">
        <v>-85000</v>
      </c>
      <c r="D19" s="151"/>
      <c r="E19" s="151">
        <v>-80000</v>
      </c>
      <c r="F19" s="151"/>
      <c r="G19" s="151"/>
      <c r="H19"/>
      <c r="I19"/>
    </row>
    <row r="20" spans="1:9" x14ac:dyDescent="0.25">
      <c r="A20">
        <v>960</v>
      </c>
      <c r="B20" t="s">
        <v>19</v>
      </c>
      <c r="C20" s="151">
        <v>-39000</v>
      </c>
      <c r="D20" s="151"/>
      <c r="E20" s="151">
        <v>-100000</v>
      </c>
      <c r="F20" s="151">
        <v>-240000</v>
      </c>
      <c r="G20" s="151">
        <v>0</v>
      </c>
      <c r="H20"/>
      <c r="I20"/>
    </row>
    <row r="21" spans="1:9" x14ac:dyDescent="0.25">
      <c r="A21">
        <v>970</v>
      </c>
      <c r="B21" t="s">
        <v>884</v>
      </c>
      <c r="C21" s="151">
        <v>0</v>
      </c>
      <c r="D21" s="151"/>
      <c r="E21" s="151">
        <v>256000</v>
      </c>
      <c r="F21" s="151">
        <v>430000</v>
      </c>
      <c r="G21" s="151"/>
      <c r="H21"/>
      <c r="I21"/>
    </row>
    <row r="22" spans="1:9" s="7" customFormat="1" x14ac:dyDescent="0.25">
      <c r="A22" t="s">
        <v>885</v>
      </c>
      <c r="B22" t="s">
        <v>880</v>
      </c>
      <c r="C22" s="151">
        <v>0</v>
      </c>
      <c r="D22" s="151"/>
      <c r="E22" s="151"/>
      <c r="F22" s="151"/>
      <c r="G22" s="151"/>
      <c r="H22"/>
      <c r="I22"/>
    </row>
    <row r="23" spans="1:9" ht="15.75" thickBot="1" x14ac:dyDescent="0.3">
      <c r="A23" s="236" t="s">
        <v>877</v>
      </c>
      <c r="B23" s="236"/>
      <c r="C23" s="237">
        <v>327860.91999999993</v>
      </c>
      <c r="D23" s="237">
        <v>-527843.88</v>
      </c>
      <c r="E23" s="237">
        <v>247535</v>
      </c>
      <c r="F23" s="237">
        <v>975992</v>
      </c>
      <c r="G23" s="237">
        <v>-1054</v>
      </c>
      <c r="H23"/>
      <c r="I23"/>
    </row>
    <row r="24" spans="1:9" ht="15.75" thickTop="1" x14ac:dyDescent="0.25">
      <c r="A24"/>
      <c r="B24"/>
      <c r="C24"/>
      <c r="D24"/>
      <c r="E24"/>
      <c r="F24"/>
      <c r="G24"/>
      <c r="H24"/>
      <c r="I24"/>
    </row>
    <row r="25" spans="1:9" x14ac:dyDescent="0.25">
      <c r="A25"/>
      <c r="B25"/>
      <c r="C25"/>
      <c r="D25"/>
      <c r="E25"/>
      <c r="F25"/>
      <c r="G25"/>
      <c r="H25"/>
      <c r="I25"/>
    </row>
    <row r="26" spans="1:9" x14ac:dyDescent="0.25">
      <c r="A26"/>
      <c r="B26"/>
      <c r="C26"/>
      <c r="D26"/>
      <c r="E26"/>
      <c r="F26"/>
      <c r="G26"/>
      <c r="H26"/>
      <c r="I26"/>
    </row>
    <row r="27" spans="1:9" x14ac:dyDescent="0.25">
      <c r="A27"/>
      <c r="B27"/>
      <c r="C27"/>
      <c r="D27"/>
      <c r="E27"/>
      <c r="F27"/>
      <c r="G27"/>
      <c r="H27"/>
      <c r="I27"/>
    </row>
    <row r="28" spans="1:9" x14ac:dyDescent="0.25">
      <c r="A28"/>
      <c r="B28"/>
      <c r="C28"/>
      <c r="D28"/>
      <c r="E28"/>
      <c r="F28"/>
      <c r="G28"/>
      <c r="H28"/>
      <c r="I28"/>
    </row>
    <row r="29" spans="1:9" x14ac:dyDescent="0.25">
      <c r="A29"/>
      <c r="B29"/>
      <c r="C29"/>
      <c r="D29"/>
      <c r="E29"/>
      <c r="F29"/>
      <c r="G29"/>
      <c r="H29"/>
      <c r="I29"/>
    </row>
    <row r="30" spans="1:9" x14ac:dyDescent="0.25">
      <c r="A30"/>
      <c r="B30"/>
      <c r="C30"/>
      <c r="D30"/>
      <c r="E30"/>
      <c r="F30"/>
      <c r="G30"/>
      <c r="H30"/>
      <c r="I30"/>
    </row>
    <row r="31" spans="1:9" x14ac:dyDescent="0.25">
      <c r="A31"/>
      <c r="B31"/>
      <c r="C31"/>
      <c r="D31"/>
      <c r="E31"/>
      <c r="F31"/>
      <c r="G31"/>
      <c r="H31"/>
      <c r="I31"/>
    </row>
    <row r="32" spans="1:9" x14ac:dyDescent="0.25">
      <c r="A32"/>
      <c r="B32"/>
      <c r="C32"/>
      <c r="D32"/>
      <c r="E32"/>
      <c r="F32"/>
      <c r="G32"/>
      <c r="H32"/>
      <c r="I32"/>
    </row>
    <row r="33" spans="1:9" x14ac:dyDescent="0.25">
      <c r="A33"/>
      <c r="B33"/>
      <c r="C33"/>
      <c r="D33"/>
      <c r="E33"/>
      <c r="F33"/>
      <c r="G33"/>
      <c r="H33"/>
      <c r="I33"/>
    </row>
    <row r="34" spans="1:9" x14ac:dyDescent="0.25">
      <c r="A34"/>
      <c r="B34"/>
      <c r="C34"/>
      <c r="D34"/>
      <c r="E34"/>
      <c r="F34"/>
      <c r="G34"/>
      <c r="H34"/>
      <c r="I34"/>
    </row>
    <row r="35" spans="1:9" x14ac:dyDescent="0.25">
      <c r="A35"/>
      <c r="B35"/>
      <c r="C35"/>
      <c r="D35"/>
      <c r="E35"/>
      <c r="F35"/>
      <c r="G35"/>
      <c r="H35"/>
      <c r="I35"/>
    </row>
    <row r="36" spans="1:9" x14ac:dyDescent="0.25">
      <c r="A36"/>
      <c r="B36"/>
      <c r="C36"/>
      <c r="D36"/>
      <c r="E36"/>
      <c r="F36"/>
      <c r="G36"/>
      <c r="H36"/>
      <c r="I36"/>
    </row>
    <row r="37" spans="1:9" x14ac:dyDescent="0.25">
      <c r="A37"/>
      <c r="B37"/>
      <c r="C37"/>
      <c r="D37"/>
      <c r="E37"/>
      <c r="F37"/>
      <c r="G37"/>
      <c r="H37"/>
      <c r="I37"/>
    </row>
    <row r="38" spans="1:9" x14ac:dyDescent="0.25">
      <c r="A38"/>
      <c r="B38"/>
      <c r="C38"/>
      <c r="D38"/>
      <c r="E38"/>
      <c r="F38"/>
      <c r="G38"/>
      <c r="H38"/>
      <c r="I38"/>
    </row>
    <row r="39" spans="1:9" x14ac:dyDescent="0.25">
      <c r="A39"/>
      <c r="B39"/>
      <c r="C39"/>
      <c r="D39"/>
      <c r="E39"/>
      <c r="F39"/>
      <c r="G39"/>
      <c r="H39"/>
      <c r="I39"/>
    </row>
    <row r="40" spans="1:9" x14ac:dyDescent="0.25">
      <c r="A40"/>
      <c r="B40"/>
      <c r="C40"/>
      <c r="D40"/>
      <c r="E40"/>
      <c r="F40"/>
      <c r="G40"/>
      <c r="H40"/>
      <c r="I40"/>
    </row>
    <row r="41" spans="1:9" x14ac:dyDescent="0.25">
      <c r="A41"/>
      <c r="B41"/>
      <c r="C41"/>
      <c r="D41"/>
      <c r="E41"/>
      <c r="F41"/>
      <c r="G41"/>
      <c r="H41"/>
      <c r="I41"/>
    </row>
    <row r="42" spans="1:9" x14ac:dyDescent="0.25">
      <c r="A42"/>
      <c r="B42"/>
      <c r="C42"/>
      <c r="D42"/>
      <c r="E42"/>
      <c r="F42"/>
      <c r="G42"/>
      <c r="H42"/>
      <c r="I42"/>
    </row>
    <row r="43" spans="1:9" x14ac:dyDescent="0.25">
      <c r="A43"/>
      <c r="B43"/>
      <c r="C43"/>
      <c r="D43"/>
      <c r="E43"/>
      <c r="F43"/>
      <c r="G43"/>
      <c r="H43"/>
      <c r="I43"/>
    </row>
    <row r="44" spans="1:9" x14ac:dyDescent="0.25">
      <c r="A44"/>
      <c r="B44"/>
      <c r="C44"/>
      <c r="D44"/>
      <c r="E44"/>
      <c r="F44"/>
      <c r="G44"/>
      <c r="H44"/>
      <c r="I44"/>
    </row>
    <row r="45" spans="1:9" x14ac:dyDescent="0.25">
      <c r="A45"/>
      <c r="B45"/>
      <c r="C45"/>
      <c r="D45"/>
      <c r="E45"/>
      <c r="F45"/>
      <c r="G45"/>
      <c r="H45"/>
      <c r="I45"/>
    </row>
    <row r="46" spans="1:9" x14ac:dyDescent="0.25">
      <c r="A46"/>
      <c r="B46"/>
      <c r="C46"/>
      <c r="D46"/>
      <c r="E46"/>
      <c r="F46"/>
      <c r="G46"/>
      <c r="H46"/>
      <c r="I46"/>
    </row>
    <row r="47" spans="1:9" x14ac:dyDescent="0.25">
      <c r="A47"/>
      <c r="B47"/>
      <c r="C47"/>
      <c r="D47"/>
      <c r="E47"/>
      <c r="F47"/>
      <c r="G47"/>
      <c r="H47"/>
      <c r="I47"/>
    </row>
    <row r="48" spans="1:9" x14ac:dyDescent="0.25">
      <c r="A48"/>
      <c r="B48"/>
      <c r="C48"/>
      <c r="D48"/>
      <c r="E48"/>
      <c r="F48"/>
      <c r="G48"/>
      <c r="H48"/>
      <c r="I48"/>
    </row>
    <row r="49" spans="1:9" x14ac:dyDescent="0.25">
      <c r="A49"/>
      <c r="B49"/>
      <c r="C49"/>
      <c r="D49"/>
      <c r="E49"/>
      <c r="F49"/>
      <c r="G49"/>
      <c r="H49"/>
      <c r="I49"/>
    </row>
    <row r="50" spans="1:9" x14ac:dyDescent="0.25">
      <c r="A50"/>
      <c r="B50"/>
      <c r="C50"/>
      <c r="D50"/>
      <c r="E50"/>
      <c r="F50"/>
      <c r="G50"/>
      <c r="H50"/>
      <c r="I50"/>
    </row>
    <row r="51" spans="1:9" x14ac:dyDescent="0.25">
      <c r="A51"/>
      <c r="B51"/>
      <c r="C51"/>
      <c r="D51"/>
      <c r="E51"/>
      <c r="F51"/>
      <c r="G51"/>
      <c r="H51"/>
      <c r="I51"/>
    </row>
    <row r="52" spans="1:9" x14ac:dyDescent="0.25">
      <c r="A52"/>
      <c r="B52"/>
      <c r="C52"/>
      <c r="D52"/>
      <c r="E52"/>
      <c r="F52"/>
      <c r="G52"/>
      <c r="H52"/>
      <c r="I52"/>
    </row>
    <row r="53" spans="1:9" x14ac:dyDescent="0.25">
      <c r="A53"/>
      <c r="B53"/>
      <c r="C53"/>
      <c r="D53"/>
      <c r="E53"/>
      <c r="F53"/>
      <c r="G53"/>
      <c r="H53"/>
      <c r="I53"/>
    </row>
    <row r="54" spans="1:9" x14ac:dyDescent="0.25">
      <c r="A54"/>
      <c r="B54"/>
      <c r="C54"/>
      <c r="D54"/>
      <c r="E54"/>
      <c r="F54"/>
      <c r="G54"/>
      <c r="H54"/>
      <c r="I54"/>
    </row>
    <row r="55" spans="1:9" x14ac:dyDescent="0.25">
      <c r="A55"/>
      <c r="B55"/>
      <c r="C55"/>
      <c r="D55"/>
      <c r="E55"/>
      <c r="F55"/>
      <c r="G55"/>
      <c r="H55"/>
      <c r="I55"/>
    </row>
    <row r="56" spans="1:9" ht="15.75" thickBot="1" x14ac:dyDescent="0.3">
      <c r="A56"/>
      <c r="B56"/>
      <c r="C56"/>
      <c r="D56"/>
      <c r="E56"/>
      <c r="F56"/>
      <c r="G56"/>
      <c r="H56"/>
      <c r="I56"/>
    </row>
    <row r="57" spans="1:9" ht="15.75" thickTop="1" x14ac:dyDescent="0.25"/>
  </sheetData>
  <pageMargins left="0.7" right="0.7" top="0.75" bottom="0.75" header="0.3" footer="0.3"/>
  <pageSetup scale="87" orientation="portrait" horizontalDpi="0" verticalDpi="0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5009-0C5B-45E3-B98F-595E98477D85}">
  <sheetPr>
    <tabColor theme="9" tint="0.39997558519241921"/>
    <pageSetUpPr fitToPage="1"/>
  </sheetPr>
  <dimension ref="A1:Q68"/>
  <sheetViews>
    <sheetView zoomScale="85" zoomScaleNormal="85" workbookViewId="0"/>
  </sheetViews>
  <sheetFormatPr defaultRowHeight="15" x14ac:dyDescent="0.25"/>
  <cols>
    <col min="1" max="1" width="27.140625" style="1" customWidth="1"/>
    <col min="2" max="7" width="13.5703125" style="1" customWidth="1"/>
    <col min="8" max="8" width="19.5703125" style="1" bestFit="1" customWidth="1"/>
    <col min="9" max="9" width="6.42578125" style="1" bestFit="1" customWidth="1"/>
    <col min="10" max="10" width="12.28515625" style="10" bestFit="1" customWidth="1"/>
    <col min="11" max="16" width="9.140625" style="1"/>
    <col min="17" max="17" width="11.5703125" style="1" bestFit="1" customWidth="1"/>
    <col min="18" max="16384" width="9.140625" style="1"/>
  </cols>
  <sheetData>
    <row r="1" spans="1:17" x14ac:dyDescent="0.25">
      <c r="B1" s="5" t="s">
        <v>888</v>
      </c>
      <c r="C1" s="5" t="s">
        <v>889</v>
      </c>
      <c r="J1" s="1"/>
    </row>
    <row r="2" spans="1:17" x14ac:dyDescent="0.25">
      <c r="A2" s="1" t="s">
        <v>890</v>
      </c>
      <c r="B2" s="33">
        <v>1826</v>
      </c>
      <c r="C2" s="33">
        <f>B2*12</f>
        <v>21912</v>
      </c>
      <c r="J2" s="1"/>
    </row>
    <row r="3" spans="1:17" x14ac:dyDescent="0.25">
      <c r="A3" s="1" t="s">
        <v>892</v>
      </c>
      <c r="B3" s="10">
        <v>119.38</v>
      </c>
      <c r="C3" s="10">
        <f>B3*12</f>
        <v>1432.56</v>
      </c>
      <c r="J3" s="1"/>
    </row>
    <row r="4" spans="1:17" x14ac:dyDescent="0.25">
      <c r="A4" s="1" t="s">
        <v>893</v>
      </c>
      <c r="B4" s="36">
        <v>5.0000000000000001E-3</v>
      </c>
      <c r="C4" s="10"/>
      <c r="J4" s="1"/>
    </row>
    <row r="5" spans="1:17" x14ac:dyDescent="0.25">
      <c r="A5" s="1" t="s">
        <v>895</v>
      </c>
      <c r="B5" s="10">
        <v>2.75</v>
      </c>
      <c r="C5" s="10">
        <f>B5*12</f>
        <v>33</v>
      </c>
      <c r="J5" s="1"/>
    </row>
    <row r="6" spans="1:17" x14ac:dyDescent="0.25">
      <c r="A6" s="1" t="s">
        <v>891</v>
      </c>
      <c r="B6" s="37">
        <v>2.63E-2</v>
      </c>
      <c r="C6" s="10"/>
      <c r="J6" s="1"/>
    </row>
    <row r="7" spans="1:17" x14ac:dyDescent="0.25">
      <c r="A7" s="1" t="s">
        <v>106</v>
      </c>
      <c r="B7" s="38">
        <v>0.2</v>
      </c>
      <c r="C7" s="10"/>
      <c r="J7" s="1"/>
    </row>
    <row r="8" spans="1:17" x14ac:dyDescent="0.25">
      <c r="A8" s="1" t="s">
        <v>894</v>
      </c>
      <c r="B8" s="37">
        <v>7.6499999999999999E-2</v>
      </c>
      <c r="C8" s="10"/>
      <c r="J8" s="1"/>
    </row>
    <row r="9" spans="1:17" x14ac:dyDescent="0.25">
      <c r="B9" s="10"/>
      <c r="C9" s="10"/>
      <c r="J9" s="1"/>
    </row>
    <row r="10" spans="1:17" x14ac:dyDescent="0.25">
      <c r="E10" s="39"/>
      <c r="F10" s="39"/>
      <c r="G10" s="39"/>
      <c r="J10" s="1"/>
    </row>
    <row r="11" spans="1:17" x14ac:dyDescent="0.25">
      <c r="A11" s="40" t="s">
        <v>898</v>
      </c>
      <c r="B11" s="41" t="s">
        <v>268</v>
      </c>
      <c r="C11" s="41" t="s">
        <v>269</v>
      </c>
      <c r="D11" s="41" t="s">
        <v>270</v>
      </c>
      <c r="E11" s="41" t="s">
        <v>271</v>
      </c>
      <c r="F11" s="41" t="s">
        <v>272</v>
      </c>
      <c r="G11" s="41" t="s">
        <v>274</v>
      </c>
      <c r="I11" s="47" t="s">
        <v>899</v>
      </c>
      <c r="J11" s="47" t="s">
        <v>899</v>
      </c>
      <c r="P11" s="1" t="s">
        <v>268</v>
      </c>
      <c r="Q11" s="10">
        <f t="shared" ref="Q11:Q16" si="0">_xlfn.XLOOKUP(P11,$B$11:$G$11,$B$23:$G$23,0)</f>
        <v>652549.8666666667</v>
      </c>
    </row>
    <row r="12" spans="1:17" s="6" customFormat="1" x14ac:dyDescent="0.25">
      <c r="B12" s="5" t="s">
        <v>900</v>
      </c>
      <c r="C12" s="5" t="s">
        <v>901</v>
      </c>
      <c r="D12" s="5" t="s">
        <v>106</v>
      </c>
      <c r="E12" s="5" t="s">
        <v>902</v>
      </c>
      <c r="F12" s="5" t="s">
        <v>903</v>
      </c>
      <c r="G12" s="5" t="s">
        <v>114</v>
      </c>
      <c r="H12" s="5" t="s">
        <v>904</v>
      </c>
      <c r="I12" s="5" t="s">
        <v>905</v>
      </c>
      <c r="J12" s="5" t="s">
        <v>906</v>
      </c>
      <c r="P12" s="6" t="s">
        <v>269</v>
      </c>
      <c r="Q12" s="10">
        <f t="shared" si="0"/>
        <v>49920.0648</v>
      </c>
    </row>
    <row r="13" spans="1:17" x14ac:dyDescent="0.25">
      <c r="A13" s="7" t="s">
        <v>907</v>
      </c>
      <c r="B13" s="10"/>
      <c r="C13" s="10"/>
      <c r="D13" s="10"/>
      <c r="E13" s="10"/>
      <c r="F13" s="10"/>
      <c r="G13" s="10"/>
      <c r="I13" s="7"/>
      <c r="J13" s="42"/>
      <c r="P13" s="1" t="s">
        <v>270</v>
      </c>
      <c r="Q13" s="10">
        <f t="shared" si="0"/>
        <v>101623.32</v>
      </c>
    </row>
    <row r="14" spans="1:17" x14ac:dyDescent="0.25">
      <c r="A14" s="1" t="s">
        <v>908</v>
      </c>
      <c r="B14" s="48">
        <f>J14*I14</f>
        <v>110000</v>
      </c>
      <c r="C14" s="48">
        <f>B14*$B$8</f>
        <v>8415</v>
      </c>
      <c r="D14" s="48">
        <f>B14*$B$7</f>
        <v>22000</v>
      </c>
      <c r="E14" s="48" cm="1">
        <f t="array" ref="E14">SUM(($C$2:$C$3)+(B14*$B$4))*I14</f>
        <v>24444.560000000001</v>
      </c>
      <c r="F14" s="48">
        <f>B14*$B$6</f>
        <v>2893</v>
      </c>
      <c r="G14" s="48">
        <v>0</v>
      </c>
      <c r="I14" s="49">
        <v>1</v>
      </c>
      <c r="J14" s="49">
        <v>110000</v>
      </c>
      <c r="P14" s="1" t="s">
        <v>271</v>
      </c>
      <c r="Q14" s="10">
        <f t="shared" si="0"/>
        <v>178874.60622222224</v>
      </c>
    </row>
    <row r="15" spans="1:17" x14ac:dyDescent="0.25">
      <c r="A15" s="1" t="s">
        <v>1156</v>
      </c>
      <c r="B15" s="50">
        <f t="shared" ref="B15:B21" si="1">J15*I15</f>
        <v>65000</v>
      </c>
      <c r="C15" s="50">
        <f t="shared" ref="C15:C21" si="2">B15*$B$8</f>
        <v>4972.5</v>
      </c>
      <c r="D15" s="50">
        <f>B15*$B$7</f>
        <v>13000</v>
      </c>
      <c r="E15" s="50" cm="1">
        <f t="array" ref="E15">SUM(($C$2:$C$3)+(B15*$B$4))*I15</f>
        <v>23994.560000000001</v>
      </c>
      <c r="F15" s="50">
        <f t="shared" ref="F15:F21" si="3">B15*$B$6</f>
        <v>1709.5</v>
      </c>
      <c r="G15" s="50">
        <v>0</v>
      </c>
      <c r="I15" s="49">
        <v>1</v>
      </c>
      <c r="J15" s="49">
        <v>65000</v>
      </c>
      <c r="P15" s="1" t="s">
        <v>272</v>
      </c>
      <c r="Q15" s="10">
        <f t="shared" si="0"/>
        <v>17162.061493333335</v>
      </c>
    </row>
    <row r="16" spans="1:17" x14ac:dyDescent="0.25">
      <c r="A16" s="1" t="s">
        <v>1156</v>
      </c>
      <c r="B16" s="50">
        <f t="shared" si="1"/>
        <v>65000</v>
      </c>
      <c r="C16" s="50">
        <f t="shared" si="2"/>
        <v>4972.5</v>
      </c>
      <c r="D16" s="50">
        <f>B16*$B$7</f>
        <v>13000</v>
      </c>
      <c r="E16" s="50" cm="1">
        <f t="array" ref="E16">SUM(($C$2:$C$3)+(B16*$B$4))*I16</f>
        <v>23994.560000000001</v>
      </c>
      <c r="F16" s="50">
        <f t="shared" si="3"/>
        <v>1709.5</v>
      </c>
      <c r="G16" s="50">
        <v>0</v>
      </c>
      <c r="H16" s="1" t="s">
        <v>1157</v>
      </c>
      <c r="I16" s="49">
        <v>1</v>
      </c>
      <c r="J16" s="49">
        <v>65000</v>
      </c>
      <c r="P16" s="1" t="s">
        <v>274</v>
      </c>
      <c r="Q16" s="10">
        <f t="shared" si="0"/>
        <v>11</v>
      </c>
    </row>
    <row r="17" spans="1:17" x14ac:dyDescent="0.25">
      <c r="A17" s="1" t="s">
        <v>1158</v>
      </c>
      <c r="B17" s="50">
        <f t="shared" si="1"/>
        <v>140000</v>
      </c>
      <c r="C17" s="50">
        <f t="shared" si="2"/>
        <v>10710</v>
      </c>
      <c r="D17" s="50">
        <f>B17*$B$7</f>
        <v>28000</v>
      </c>
      <c r="E17" s="50" cm="1">
        <f t="array" ref="E17">SUM(($C$2:$C$3)+(B17*$B$4))*I17</f>
        <v>49489.120000000003</v>
      </c>
      <c r="F17" s="50">
        <f t="shared" si="3"/>
        <v>3682</v>
      </c>
      <c r="G17" s="50">
        <v>0</v>
      </c>
      <c r="I17" s="49">
        <v>2</v>
      </c>
      <c r="J17" s="49">
        <v>70000</v>
      </c>
    </row>
    <row r="18" spans="1:17" x14ac:dyDescent="0.25">
      <c r="A18" s="1" t="s">
        <v>1159</v>
      </c>
      <c r="B18" s="50">
        <f t="shared" si="1"/>
        <v>120000</v>
      </c>
      <c r="C18" s="50">
        <f t="shared" si="2"/>
        <v>9180</v>
      </c>
      <c r="D18" s="50">
        <f>B18*$B$7</f>
        <v>24000</v>
      </c>
      <c r="E18" s="50" cm="1">
        <f t="array" ref="E18">SUM(($C$2:$C$3)+(B18*$B$4))*I18</f>
        <v>49089.120000000003</v>
      </c>
      <c r="F18" s="50">
        <f t="shared" si="3"/>
        <v>3156</v>
      </c>
      <c r="G18" s="50">
        <v>0</v>
      </c>
      <c r="H18" s="1" t="s">
        <v>1157</v>
      </c>
      <c r="I18" s="49">
        <v>2</v>
      </c>
      <c r="J18" s="49">
        <v>60000</v>
      </c>
    </row>
    <row r="19" spans="1:17" x14ac:dyDescent="0.25">
      <c r="A19" s="1" t="s">
        <v>910</v>
      </c>
      <c r="B19" s="50">
        <f>J19</f>
        <v>120000</v>
      </c>
      <c r="C19" s="50">
        <f>B19*$B$8</f>
        <v>9180</v>
      </c>
      <c r="D19" s="50">
        <v>0</v>
      </c>
      <c r="E19" s="50">
        <v>0</v>
      </c>
      <c r="F19" s="50">
        <f>B19*$B$6</f>
        <v>3156</v>
      </c>
      <c r="G19" s="50">
        <v>0</v>
      </c>
      <c r="I19" s="49"/>
      <c r="J19" s="49">
        <v>120000</v>
      </c>
    </row>
    <row r="20" spans="1:17" x14ac:dyDescent="0.25">
      <c r="A20" s="1" t="s">
        <v>911</v>
      </c>
      <c r="B20" s="50">
        <f t="shared" si="1"/>
        <v>24349.866666666661</v>
      </c>
      <c r="C20" s="50">
        <f t="shared" si="2"/>
        <v>1862.7647999999995</v>
      </c>
      <c r="D20" s="50">
        <f>ROUND((B20*$B$7)/3,2)</f>
        <v>1623.32</v>
      </c>
      <c r="E20" s="50" cm="1">
        <f t="array" ref="E20">SUM(($C$2:$C$3)+(B20*$B$4))*I20</f>
        <v>7862.6862222222226</v>
      </c>
      <c r="F20" s="50">
        <f t="shared" si="3"/>
        <v>640.40149333333318</v>
      </c>
      <c r="G20" s="50">
        <f>$C$5*I20</f>
        <v>11</v>
      </c>
      <c r="I20" s="49">
        <f>1/3</f>
        <v>0.33333333333333331</v>
      </c>
      <c r="J20" s="49">
        <f>35.12*2080</f>
        <v>73049.599999999991</v>
      </c>
    </row>
    <row r="21" spans="1:17" x14ac:dyDescent="0.25">
      <c r="A21" s="1" t="s">
        <v>913</v>
      </c>
      <c r="B21" s="50">
        <f t="shared" si="1"/>
        <v>8199.9999999999982</v>
      </c>
      <c r="C21" s="50">
        <f t="shared" si="2"/>
        <v>627.29999999999984</v>
      </c>
      <c r="D21" s="50">
        <v>0</v>
      </c>
      <c r="E21" s="50">
        <v>0</v>
      </c>
      <c r="F21" s="50">
        <f t="shared" si="3"/>
        <v>215.65999999999997</v>
      </c>
      <c r="G21" s="50">
        <v>0</v>
      </c>
      <c r="I21" s="49">
        <f>1/3</f>
        <v>0.33333333333333331</v>
      </c>
      <c r="J21" s="49">
        <f>24000*1.025</f>
        <v>24599.999999999996</v>
      </c>
    </row>
    <row r="22" spans="1:17" x14ac:dyDescent="0.25">
      <c r="B22" s="10"/>
      <c r="C22" s="10"/>
      <c r="D22" s="10"/>
      <c r="E22" s="10"/>
      <c r="F22" s="10"/>
      <c r="G22" s="10"/>
      <c r="I22" s="10"/>
    </row>
    <row r="23" spans="1:17" ht="21" customHeight="1" thickBot="1" x14ac:dyDescent="0.3">
      <c r="A23" s="40" t="s">
        <v>914</v>
      </c>
      <c r="B23" s="43">
        <f t="shared" ref="B23:G23" si="4">SUM(B14:B22)</f>
        <v>652549.8666666667</v>
      </c>
      <c r="C23" s="43">
        <f t="shared" si="4"/>
        <v>49920.0648</v>
      </c>
      <c r="D23" s="43">
        <f t="shared" si="4"/>
        <v>101623.32</v>
      </c>
      <c r="E23" s="43">
        <f t="shared" si="4"/>
        <v>178874.60622222224</v>
      </c>
      <c r="F23" s="43">
        <f t="shared" si="4"/>
        <v>17162.061493333335</v>
      </c>
      <c r="G23" s="43">
        <f t="shared" si="4"/>
        <v>11</v>
      </c>
      <c r="H23" s="43">
        <f>SUM(B23:G23)</f>
        <v>1000140.9191822223</v>
      </c>
      <c r="I23" s="10"/>
    </row>
    <row r="24" spans="1:17" ht="21" customHeight="1" thickTop="1" x14ac:dyDescent="0.25">
      <c r="A24" s="1" t="s">
        <v>915</v>
      </c>
      <c r="B24" s="51" t="e">
        <f>_xlfn.XLOOKUP(B11,'Master Budget'!$G$4:$G$210,'Master Budget'!#REF!,0)</f>
        <v>#REF!</v>
      </c>
      <c r="C24" s="51" t="e">
        <f>_xlfn.XLOOKUP(C11,'Master Budget'!$G$4:$G$210,'Master Budget'!#REF!,0)</f>
        <v>#REF!</v>
      </c>
      <c r="D24" s="51" t="e">
        <f>_xlfn.XLOOKUP(D11,'Master Budget'!$G$4:$G$210,'Master Budget'!#REF!,0)</f>
        <v>#REF!</v>
      </c>
      <c r="E24" s="51" t="e">
        <f>_xlfn.XLOOKUP(E11,'Master Budget'!$G$4:$G$210,'Master Budget'!#REF!,0)</f>
        <v>#REF!</v>
      </c>
      <c r="F24" s="51" t="e">
        <f>_xlfn.XLOOKUP(F11,'Master Budget'!$G$4:$G$210,'Master Budget'!#REF!,0)</f>
        <v>#REF!</v>
      </c>
      <c r="G24" s="51" t="e">
        <f>_xlfn.XLOOKUP(G11,'Master Budget'!$G$4:$G$210,'Master Budget'!#REF!,0)</f>
        <v>#REF!</v>
      </c>
      <c r="H24" s="35" t="e">
        <f>_xlfn.XLOOKUP(H11,'Master Budget'!$G$4:$G$210,'Master Budget'!#REF!,0)</f>
        <v>#REF!</v>
      </c>
    </row>
    <row r="25" spans="1:17" ht="21" customHeight="1" x14ac:dyDescent="0.25">
      <c r="B25" s="52" t="e">
        <f>B23-B24</f>
        <v>#REF!</v>
      </c>
      <c r="C25" s="52" t="e">
        <f>C23-C24</f>
        <v>#REF!</v>
      </c>
      <c r="D25" s="52" t="e">
        <f>D23-D24</f>
        <v>#REF!</v>
      </c>
      <c r="E25" s="52" t="e">
        <f>E23-E24</f>
        <v>#REF!</v>
      </c>
      <c r="F25" s="52" t="e">
        <f>F23-F24</f>
        <v>#REF!</v>
      </c>
      <c r="G25" s="35"/>
      <c r="H25" s="35"/>
    </row>
    <row r="26" spans="1:17" x14ac:dyDescent="0.25">
      <c r="B26" s="10"/>
      <c r="C26" s="10"/>
      <c r="D26" s="10"/>
      <c r="E26" s="10"/>
      <c r="F26" s="10"/>
      <c r="G26" s="10"/>
    </row>
    <row r="27" spans="1:17" x14ac:dyDescent="0.25">
      <c r="A27" s="40" t="s">
        <v>898</v>
      </c>
      <c r="B27" s="41" t="s">
        <v>424</v>
      </c>
      <c r="C27" s="41" t="s">
        <v>425</v>
      </c>
      <c r="D27" s="41" t="s">
        <v>426</v>
      </c>
      <c r="E27" s="41"/>
      <c r="F27" s="41" t="s">
        <v>427</v>
      </c>
      <c r="G27" s="41"/>
      <c r="I27" s="47" t="s">
        <v>899</v>
      </c>
      <c r="J27" s="47" t="s">
        <v>899</v>
      </c>
      <c r="P27" s="1" t="s">
        <v>424</v>
      </c>
      <c r="Q27" s="10">
        <f>_xlfn.XLOOKUP(P27,$B$27:$G$27,$B$34:$G$34,0)</f>
        <v>112400</v>
      </c>
    </row>
    <row r="28" spans="1:17" x14ac:dyDescent="0.25">
      <c r="A28" s="7" t="s">
        <v>916</v>
      </c>
      <c r="B28" s="5" t="s">
        <v>900</v>
      </c>
      <c r="C28" s="5" t="s">
        <v>901</v>
      </c>
      <c r="D28" s="5" t="s">
        <v>106</v>
      </c>
      <c r="E28" s="5" t="s">
        <v>902</v>
      </c>
      <c r="F28" s="5" t="s">
        <v>903</v>
      </c>
      <c r="G28" s="5"/>
      <c r="H28" s="5" t="s">
        <v>904</v>
      </c>
      <c r="I28" s="5" t="s">
        <v>905</v>
      </c>
      <c r="J28" s="6" t="s">
        <v>906</v>
      </c>
      <c r="P28" s="1" t="s">
        <v>425</v>
      </c>
      <c r="Q28" s="10">
        <f>_xlfn.XLOOKUP(P28,$B$27:$G$27,$B$34:$G$34,0)</f>
        <v>8598.6</v>
      </c>
    </row>
    <row r="29" spans="1:17" x14ac:dyDescent="0.25">
      <c r="A29" s="1" t="s">
        <v>908</v>
      </c>
      <c r="B29" s="50">
        <f>J29*I29</f>
        <v>30000</v>
      </c>
      <c r="C29" s="50">
        <f>B29*$B$8</f>
        <v>2295</v>
      </c>
      <c r="D29" s="50">
        <v>0</v>
      </c>
      <c r="E29" s="50">
        <v>0</v>
      </c>
      <c r="F29" s="50">
        <f>B29*$B$6</f>
        <v>789</v>
      </c>
      <c r="G29" s="50">
        <v>0</v>
      </c>
      <c r="I29" s="49">
        <v>1</v>
      </c>
      <c r="J29" s="53">
        <v>30000</v>
      </c>
      <c r="P29" s="1" t="s">
        <v>426</v>
      </c>
      <c r="Q29" s="10">
        <f>_xlfn.XLOOKUP(P29,$B$27:$G$27,$B$34:$G$34,0)</f>
        <v>0</v>
      </c>
    </row>
    <row r="30" spans="1:17" x14ac:dyDescent="0.25">
      <c r="A30" s="1" t="s">
        <v>918</v>
      </c>
      <c r="B30" s="50">
        <f>J30*I30</f>
        <v>10000</v>
      </c>
      <c r="C30" s="50">
        <f>B30*$B$8</f>
        <v>765</v>
      </c>
      <c r="D30" s="50">
        <v>0</v>
      </c>
      <c r="E30" s="50">
        <v>0</v>
      </c>
      <c r="F30" s="50">
        <f>B30*$B$6</f>
        <v>263</v>
      </c>
      <c r="G30" s="50">
        <v>0</v>
      </c>
      <c r="I30" s="49">
        <v>1</v>
      </c>
      <c r="J30" s="53">
        <v>10000</v>
      </c>
      <c r="P30" s="1" t="s">
        <v>427</v>
      </c>
      <c r="Q30" s="10">
        <f>_xlfn.XLOOKUP(P30,$B$27:$G$27,$B$34:$G$34,0)</f>
        <v>2956.12</v>
      </c>
    </row>
    <row r="31" spans="1:17" x14ac:dyDescent="0.25">
      <c r="A31" s="1" t="s">
        <v>918</v>
      </c>
      <c r="B31" s="50">
        <f>J31*I31</f>
        <v>10000</v>
      </c>
      <c r="C31" s="50">
        <f>B31*$B$8</f>
        <v>765</v>
      </c>
      <c r="D31" s="50">
        <v>0</v>
      </c>
      <c r="E31" s="50">
        <v>0</v>
      </c>
      <c r="F31" s="50">
        <f>B31*$B$6</f>
        <v>263</v>
      </c>
      <c r="G31" s="50">
        <v>0</v>
      </c>
      <c r="H31" s="1" t="s">
        <v>919</v>
      </c>
      <c r="I31" s="49">
        <v>1</v>
      </c>
      <c r="J31" s="53">
        <v>10000</v>
      </c>
    </row>
    <row r="32" spans="1:17" x14ac:dyDescent="0.25">
      <c r="A32" s="1" t="s">
        <v>1160</v>
      </c>
      <c r="B32" s="50">
        <f>J32*I32</f>
        <v>62400</v>
      </c>
      <c r="C32" s="50">
        <f>B32*$B$8</f>
        <v>4773.6000000000004</v>
      </c>
      <c r="D32" s="50">
        <v>0</v>
      </c>
      <c r="E32" s="50">
        <v>0</v>
      </c>
      <c r="F32" s="50">
        <f>B32*$B$6</f>
        <v>1641.1200000000001</v>
      </c>
      <c r="G32" s="50">
        <v>0</v>
      </c>
      <c r="I32" s="49">
        <v>4</v>
      </c>
      <c r="J32" s="53">
        <f>K32*2080/2</f>
        <v>15600</v>
      </c>
      <c r="K32" s="10">
        <v>15</v>
      </c>
    </row>
    <row r="33" spans="1:17" x14ac:dyDescent="0.25">
      <c r="B33" s="10"/>
      <c r="C33" s="10">
        <f>B33*$B$8</f>
        <v>0</v>
      </c>
      <c r="D33" s="10"/>
      <c r="E33" s="10"/>
      <c r="F33" s="10"/>
      <c r="G33" s="10"/>
      <c r="I33" s="10"/>
    </row>
    <row r="34" spans="1:17" ht="21" customHeight="1" thickBot="1" x14ac:dyDescent="0.3">
      <c r="A34" s="40" t="s">
        <v>921</v>
      </c>
      <c r="B34" s="43">
        <f>SUM(B29:B33)</f>
        <v>112400</v>
      </c>
      <c r="C34" s="43">
        <f>SUM(C29:C33)</f>
        <v>8598.6</v>
      </c>
      <c r="D34" s="43">
        <f>SUM(D29:D33)</f>
        <v>0</v>
      </c>
      <c r="E34" s="43">
        <f>SUM(E29:E33)</f>
        <v>0</v>
      </c>
      <c r="F34" s="43">
        <f>SUM(F29:F33)</f>
        <v>2956.12</v>
      </c>
      <c r="G34" s="43"/>
      <c r="H34" s="43">
        <f>SUM(B34:G34)</f>
        <v>123954.72</v>
      </c>
      <c r="I34" s="10"/>
    </row>
    <row r="35" spans="1:17" ht="15.75" thickTop="1" x14ac:dyDescent="0.25">
      <c r="A35" s="1" t="s">
        <v>915</v>
      </c>
      <c r="B35" s="51" t="e">
        <f>_xlfn.XLOOKUP(B27,'Master Budget'!$G$4:$G$210,'Master Budget'!#REF!,0)</f>
        <v>#REF!</v>
      </c>
      <c r="C35" s="51" t="e">
        <f>_xlfn.XLOOKUP(C27,'Master Budget'!$G$4:$G$210,'Master Budget'!#REF!,0)</f>
        <v>#REF!</v>
      </c>
      <c r="D35" s="51" t="e">
        <f>_xlfn.XLOOKUP(D27,'Master Budget'!$G$4:$G$210,'Master Budget'!#REF!,0)</f>
        <v>#REF!</v>
      </c>
      <c r="E35" s="51" t="e">
        <f>_xlfn.XLOOKUP(E27,'Master Budget'!$G$4:$G$210,'Master Budget'!#REF!,0)</f>
        <v>#REF!</v>
      </c>
      <c r="F35" s="51" t="e">
        <f>_xlfn.XLOOKUP(F27,'Master Budget'!$G$4:$G$210,'Master Budget'!#REF!,0)</f>
        <v>#REF!</v>
      </c>
      <c r="G35" s="51"/>
    </row>
    <row r="36" spans="1:17" x14ac:dyDescent="0.25">
      <c r="B36" s="52" t="e">
        <f>B34-B35</f>
        <v>#REF!</v>
      </c>
      <c r="C36" s="52" t="e">
        <f>C34-C35</f>
        <v>#REF!</v>
      </c>
      <c r="D36" s="52" t="e">
        <f>D34-D35</f>
        <v>#REF!</v>
      </c>
      <c r="E36" s="52" t="e">
        <f>E34-E35</f>
        <v>#REF!</v>
      </c>
      <c r="F36" s="52" t="e">
        <f>F34-F35</f>
        <v>#REF!</v>
      </c>
      <c r="G36" s="35"/>
    </row>
    <row r="37" spans="1:17" x14ac:dyDescent="0.25">
      <c r="B37" s="10"/>
      <c r="C37" s="10"/>
      <c r="D37" s="10"/>
      <c r="E37" s="10"/>
      <c r="F37" s="10"/>
      <c r="G37" s="10"/>
    </row>
    <row r="38" spans="1:17" x14ac:dyDescent="0.25">
      <c r="A38" s="40" t="s">
        <v>898</v>
      </c>
      <c r="B38" s="41" t="s">
        <v>607</v>
      </c>
      <c r="C38" s="41" t="s">
        <v>608</v>
      </c>
      <c r="D38" s="41" t="s">
        <v>609</v>
      </c>
      <c r="E38" s="41" t="s">
        <v>610</v>
      </c>
      <c r="F38" s="41" t="s">
        <v>611</v>
      </c>
      <c r="G38" s="41" t="s">
        <v>613</v>
      </c>
      <c r="I38" s="47" t="s">
        <v>899</v>
      </c>
      <c r="J38" s="47" t="s">
        <v>899</v>
      </c>
      <c r="P38" s="1" t="s">
        <v>607</v>
      </c>
      <c r="Q38" s="10">
        <f t="shared" ref="Q38:Q43" si="5">_xlfn.XLOOKUP(P38,$B$38:$G$38,$B$49:$G$49,0)</f>
        <v>240279.90104166666</v>
      </c>
    </row>
    <row r="39" spans="1:17" x14ac:dyDescent="0.25">
      <c r="A39" s="7" t="s">
        <v>922</v>
      </c>
      <c r="B39" s="5" t="s">
        <v>900</v>
      </c>
      <c r="C39" s="5" t="s">
        <v>901</v>
      </c>
      <c r="D39" s="5" t="s">
        <v>106</v>
      </c>
      <c r="E39" s="5" t="s">
        <v>902</v>
      </c>
      <c r="F39" s="5" t="s">
        <v>903</v>
      </c>
      <c r="G39" s="5" t="s">
        <v>114</v>
      </c>
      <c r="H39" s="5" t="s">
        <v>904</v>
      </c>
      <c r="I39" s="5" t="s">
        <v>905</v>
      </c>
      <c r="J39" s="6" t="s">
        <v>906</v>
      </c>
      <c r="L39" s="1">
        <v>2.5000000000000001E-2</v>
      </c>
      <c r="M39" s="1">
        <v>2.5000000000000001E-2</v>
      </c>
      <c r="P39" s="1" t="s">
        <v>608</v>
      </c>
      <c r="Q39" s="10">
        <f t="shared" si="5"/>
        <v>18381.412429687494</v>
      </c>
    </row>
    <row r="40" spans="1:17" x14ac:dyDescent="0.25">
      <c r="A40" s="1" t="s">
        <v>923</v>
      </c>
      <c r="B40" s="50">
        <f>J40*I40</f>
        <v>62443.158874999994</v>
      </c>
      <c r="C40" s="50">
        <f t="shared" ref="C40:C48" si="6">B40*$B$8</f>
        <v>4776.9016539374998</v>
      </c>
      <c r="D40" s="50">
        <f t="shared" ref="D40:D45" si="7">(B40*$B$7)</f>
        <v>12488.631775</v>
      </c>
      <c r="E40" s="50" cm="1">
        <f t="array" ref="E40">SUM(($C$2:$C$3)+(B40*$B$4))*I40</f>
        <v>11984.495794375</v>
      </c>
      <c r="F40" s="50">
        <f t="shared" ref="F40:F46" si="8">B40*$B$6</f>
        <v>1642.2550784124999</v>
      </c>
      <c r="G40" s="50">
        <f>$C$5</f>
        <v>33</v>
      </c>
      <c r="I40" s="49">
        <v>0.5</v>
      </c>
      <c r="J40" s="49">
        <f>121840.31*1.025</f>
        <v>124886.31774999999</v>
      </c>
      <c r="P40" s="1" t="s">
        <v>609</v>
      </c>
      <c r="Q40" s="10">
        <f t="shared" si="5"/>
        <v>44740.661108333334</v>
      </c>
    </row>
    <row r="41" spans="1:17" x14ac:dyDescent="0.25">
      <c r="A41" s="1" t="s">
        <v>924</v>
      </c>
      <c r="B41" s="50">
        <f>(52*25*J41)*I41</f>
        <v>18213</v>
      </c>
      <c r="C41" s="50">
        <f t="shared" si="6"/>
        <v>1393.2945</v>
      </c>
      <c r="D41" s="50">
        <f t="shared" si="7"/>
        <v>3642.6000000000004</v>
      </c>
      <c r="E41" s="50" cm="1">
        <f t="array" ref="E41">SUM(($C$2:$C$3)+(B41*$B$4))*I41</f>
        <v>11763.344999999999</v>
      </c>
      <c r="F41" s="50">
        <f t="shared" si="8"/>
        <v>479.00190000000003</v>
      </c>
      <c r="G41" s="50">
        <f>$C$5</f>
        <v>33</v>
      </c>
      <c r="H41" s="1" t="s">
        <v>925</v>
      </c>
      <c r="I41" s="49">
        <v>0.5</v>
      </c>
      <c r="J41" s="49">
        <v>28.02</v>
      </c>
      <c r="L41" s="54">
        <f>J41*L39</f>
        <v>0.70050000000000001</v>
      </c>
      <c r="M41" s="54">
        <f>(J41+L41)*M39</f>
        <v>0.71801250000000005</v>
      </c>
      <c r="P41" s="1" t="s">
        <v>610</v>
      </c>
      <c r="Q41" s="10">
        <f t="shared" si="5"/>
        <v>43334.661416597228</v>
      </c>
    </row>
    <row r="42" spans="1:17" x14ac:dyDescent="0.25">
      <c r="A42" s="1" t="s">
        <v>926</v>
      </c>
      <c r="B42" s="50">
        <f>(52*16*J42)*I42</f>
        <v>10370.879999999999</v>
      </c>
      <c r="C42" s="50">
        <f t="shared" si="6"/>
        <v>793.37231999999995</v>
      </c>
      <c r="D42" s="50">
        <f t="shared" si="7"/>
        <v>2074.1759999999999</v>
      </c>
      <c r="E42" s="50" cm="1">
        <f t="array" ref="E42">SUM(($C$2:$C$3)+(B42*$B$4))*I42</f>
        <v>11724.134400000001</v>
      </c>
      <c r="F42" s="50">
        <f t="shared" si="8"/>
        <v>272.754144</v>
      </c>
      <c r="G42" s="50">
        <f>$C$5</f>
        <v>33</v>
      </c>
      <c r="H42" s="1" t="s">
        <v>1161</v>
      </c>
      <c r="I42" s="49">
        <v>0.5</v>
      </c>
      <c r="J42" s="49">
        <v>24.93</v>
      </c>
      <c r="L42" s="54">
        <f>J42*L39</f>
        <v>0.62325000000000008</v>
      </c>
      <c r="M42" s="54">
        <f>(L42+J42)*M39</f>
        <v>0.63883124999999996</v>
      </c>
      <c r="P42" s="1" t="s">
        <v>611</v>
      </c>
      <c r="Q42" s="10">
        <f t="shared" si="5"/>
        <v>6099.0569357458326</v>
      </c>
    </row>
    <row r="43" spans="1:17" x14ac:dyDescent="0.25">
      <c r="A43" s="1" t="str">
        <f>"Staff (FT-"&amp;I43&amp;")"</f>
        <v>Staff (FT-2)</v>
      </c>
      <c r="B43" s="50">
        <f>(2080*J43)*I43/2</f>
        <v>49046.399999999994</v>
      </c>
      <c r="C43" s="50">
        <f t="shared" si="6"/>
        <v>3752.0495999999994</v>
      </c>
      <c r="D43" s="50">
        <f t="shared" si="7"/>
        <v>9809.2799999999988</v>
      </c>
      <c r="E43" s="50">
        <v>0</v>
      </c>
      <c r="F43" s="50">
        <f t="shared" si="8"/>
        <v>1289.9203199999999</v>
      </c>
      <c r="G43" s="50">
        <f>$C$5*2</f>
        <v>66</v>
      </c>
      <c r="I43" s="49">
        <v>2</v>
      </c>
      <c r="J43" s="49">
        <v>23.58</v>
      </c>
      <c r="L43" s="54">
        <f>J43*L39*2</f>
        <v>1.179</v>
      </c>
      <c r="M43" s="54">
        <f>(L43+J43)*M39*2</f>
        <v>1.2379499999999999</v>
      </c>
      <c r="P43" s="1" t="s">
        <v>613</v>
      </c>
      <c r="Q43" s="10">
        <f t="shared" si="5"/>
        <v>297</v>
      </c>
    </row>
    <row r="44" spans="1:17" x14ac:dyDescent="0.25">
      <c r="A44" s="1" t="str">
        <f>"Staff (PT-"&amp;I44&amp;")"</f>
        <v>Staff (PT-3)</v>
      </c>
      <c r="B44" s="50">
        <f>(2080*J44)*I44/2</f>
        <v>59280</v>
      </c>
      <c r="C44" s="50">
        <f t="shared" si="6"/>
        <v>4534.92</v>
      </c>
      <c r="D44" s="50">
        <f t="shared" si="7"/>
        <v>11856</v>
      </c>
      <c r="E44" s="50">
        <v>0</v>
      </c>
      <c r="F44" s="50">
        <f t="shared" si="8"/>
        <v>1559.0640000000001</v>
      </c>
      <c r="G44" s="50">
        <f>$C$5*2</f>
        <v>66</v>
      </c>
      <c r="H44" s="1" t="s">
        <v>1162</v>
      </c>
      <c r="I44" s="49">
        <v>3</v>
      </c>
      <c r="J44" s="49">
        <v>19</v>
      </c>
      <c r="L44" s="54">
        <f>J44*L39*3</f>
        <v>1.425</v>
      </c>
      <c r="M44" s="54">
        <f>(L44+J44)*M39*3</f>
        <v>1.5318749999999999</v>
      </c>
    </row>
    <row r="45" spans="1:17" x14ac:dyDescent="0.25">
      <c r="A45" s="1" t="s">
        <v>911</v>
      </c>
      <c r="B45" s="50">
        <f>J45*I45</f>
        <v>24349.866666666661</v>
      </c>
      <c r="C45" s="50">
        <f t="shared" si="6"/>
        <v>1862.7647999999995</v>
      </c>
      <c r="D45" s="50">
        <f t="shared" si="7"/>
        <v>4869.9733333333324</v>
      </c>
      <c r="E45" s="50" cm="1">
        <f t="array" ref="E45">SUM(($C$2:$C$3)+(B45*$B$4))*I45</f>
        <v>7862.6862222222226</v>
      </c>
      <c r="F45" s="50">
        <f t="shared" si="8"/>
        <v>640.40149333333318</v>
      </c>
      <c r="G45" s="50">
        <f>$C$5</f>
        <v>33</v>
      </c>
      <c r="I45" s="49">
        <f>1/3</f>
        <v>0.33333333333333331</v>
      </c>
      <c r="J45" s="49">
        <f>$J$20</f>
        <v>73049.599999999991</v>
      </c>
    </row>
    <row r="46" spans="1:17" x14ac:dyDescent="0.25">
      <c r="A46" s="1" t="s">
        <v>913</v>
      </c>
      <c r="B46" s="50">
        <f>J46*I46</f>
        <v>8199.9999999999982</v>
      </c>
      <c r="C46" s="50">
        <f t="shared" si="6"/>
        <v>627.29999999999984</v>
      </c>
      <c r="D46" s="50">
        <v>0</v>
      </c>
      <c r="E46" s="50">
        <v>0</v>
      </c>
      <c r="F46" s="50">
        <f t="shared" si="8"/>
        <v>215.65999999999997</v>
      </c>
      <c r="G46" s="50">
        <f>$C$5</f>
        <v>33</v>
      </c>
      <c r="I46" s="49">
        <f>1/3</f>
        <v>0.33333333333333331</v>
      </c>
      <c r="J46" s="49">
        <f>$J$21</f>
        <v>24599.999999999996</v>
      </c>
    </row>
    <row r="47" spans="1:17" x14ac:dyDescent="0.25">
      <c r="A47" s="1" t="s">
        <v>930</v>
      </c>
      <c r="B47" s="50">
        <f>(2080*(J47+J48))*I47</f>
        <v>8376.5954999999994</v>
      </c>
      <c r="C47" s="50">
        <f t="shared" si="6"/>
        <v>640.80955574999996</v>
      </c>
      <c r="D47" s="50"/>
      <c r="E47" s="50"/>
      <c r="F47" s="50"/>
      <c r="G47" s="50"/>
      <c r="I47" s="49">
        <v>0.5</v>
      </c>
      <c r="J47" s="55">
        <f>SUM(L41:L44)</f>
        <v>3.9277499999999996</v>
      </c>
    </row>
    <row r="48" spans="1:17" x14ac:dyDescent="0.25">
      <c r="B48" s="10"/>
      <c r="C48" s="10">
        <f t="shared" si="6"/>
        <v>0</v>
      </c>
      <c r="D48" s="10"/>
      <c r="E48" s="10"/>
      <c r="F48" s="10"/>
      <c r="G48" s="10"/>
      <c r="I48" s="49"/>
      <c r="J48" s="55">
        <f>SUM(M41:M44)</f>
        <v>4.1266687500000003</v>
      </c>
    </row>
    <row r="49" spans="1:17" ht="21" customHeight="1" thickBot="1" x14ac:dyDescent="0.3">
      <c r="A49" s="40" t="s">
        <v>931</v>
      </c>
      <c r="B49" s="43">
        <f t="shared" ref="B49:G49" si="9">SUM(B40:B48)</f>
        <v>240279.90104166666</v>
      </c>
      <c r="C49" s="43">
        <f t="shared" si="9"/>
        <v>18381.412429687494</v>
      </c>
      <c r="D49" s="43">
        <f t="shared" si="9"/>
        <v>44740.661108333334</v>
      </c>
      <c r="E49" s="43">
        <f t="shared" si="9"/>
        <v>43334.661416597228</v>
      </c>
      <c r="F49" s="43">
        <f t="shared" si="9"/>
        <v>6099.0569357458326</v>
      </c>
      <c r="G49" s="43">
        <f t="shared" si="9"/>
        <v>297</v>
      </c>
      <c r="H49" s="43">
        <f>SUM(B49:G49)</f>
        <v>353132.69293203048</v>
      </c>
    </row>
    <row r="50" spans="1:17" ht="15.75" thickTop="1" x14ac:dyDescent="0.25">
      <c r="A50" s="1" t="s">
        <v>915</v>
      </c>
      <c r="B50" s="51" t="e">
        <f>_xlfn.XLOOKUP(B38,'Master Budget'!$G$4:$G$210,'Master Budget'!#REF!,0)</f>
        <v>#REF!</v>
      </c>
      <c r="C50" s="51" t="e">
        <f>_xlfn.XLOOKUP(C38,'Master Budget'!$G$4:$G$210,'Master Budget'!#REF!,0)</f>
        <v>#REF!</v>
      </c>
      <c r="D50" s="51" t="e">
        <f>_xlfn.XLOOKUP(D38,'Master Budget'!$G$4:$G$210,'Master Budget'!#REF!,0)</f>
        <v>#REF!</v>
      </c>
      <c r="E50" s="51" t="e">
        <f>_xlfn.XLOOKUP(E38,'Master Budget'!$G$4:$G$210,'Master Budget'!#REF!,0)</f>
        <v>#REF!</v>
      </c>
      <c r="F50" s="51" t="e">
        <f>_xlfn.XLOOKUP(F38,'Master Budget'!$G$4:$G$210,'Master Budget'!#REF!,0)</f>
        <v>#REF!</v>
      </c>
      <c r="G50" s="51" t="e">
        <f>_xlfn.XLOOKUP(G38,'Master Budget'!$G$4:$G$210,'Master Budget'!#REF!,0)</f>
        <v>#REF!</v>
      </c>
    </row>
    <row r="51" spans="1:17" x14ac:dyDescent="0.25">
      <c r="B51" s="52" t="e">
        <f t="shared" ref="B51:G51" si="10">B49-B50</f>
        <v>#REF!</v>
      </c>
      <c r="C51" s="52" t="e">
        <f t="shared" si="10"/>
        <v>#REF!</v>
      </c>
      <c r="D51" s="52" t="e">
        <f t="shared" si="10"/>
        <v>#REF!</v>
      </c>
      <c r="E51" s="52" t="e">
        <f t="shared" si="10"/>
        <v>#REF!</v>
      </c>
      <c r="F51" s="52" t="e">
        <f t="shared" si="10"/>
        <v>#REF!</v>
      </c>
      <c r="G51" s="52" t="e">
        <f t="shared" si="10"/>
        <v>#REF!</v>
      </c>
    </row>
    <row r="52" spans="1:17" x14ac:dyDescent="0.25">
      <c r="B52" s="10"/>
      <c r="C52" s="10"/>
      <c r="D52" s="10"/>
      <c r="E52" s="10"/>
      <c r="F52" s="10"/>
      <c r="G52" s="10"/>
    </row>
    <row r="53" spans="1:17" x14ac:dyDescent="0.25">
      <c r="A53" s="40" t="s">
        <v>898</v>
      </c>
      <c r="B53" s="41" t="s">
        <v>733</v>
      </c>
      <c r="C53" s="41" t="s">
        <v>735</v>
      </c>
      <c r="D53" s="41" t="s">
        <v>736</v>
      </c>
      <c r="E53" s="41" t="s">
        <v>737</v>
      </c>
      <c r="F53" s="41" t="s">
        <v>738</v>
      </c>
      <c r="G53" s="41" t="s">
        <v>740</v>
      </c>
      <c r="I53" s="47" t="s">
        <v>899</v>
      </c>
      <c r="J53" s="47" t="s">
        <v>899</v>
      </c>
      <c r="P53" s="1" t="s">
        <v>733</v>
      </c>
      <c r="Q53" s="10">
        <f t="shared" ref="Q53:Q58" si="11">_xlfn.XLOOKUP(P53,$B$53:$G$53,$B$64:$G$64,0)</f>
        <v>240279.85554166665</v>
      </c>
    </row>
    <row r="54" spans="1:17" x14ac:dyDescent="0.25">
      <c r="A54" s="7" t="s">
        <v>932</v>
      </c>
      <c r="B54" s="5" t="s">
        <v>900</v>
      </c>
      <c r="C54" s="5" t="s">
        <v>901</v>
      </c>
      <c r="D54" s="5" t="s">
        <v>106</v>
      </c>
      <c r="E54" s="5" t="s">
        <v>902</v>
      </c>
      <c r="F54" s="5" t="s">
        <v>903</v>
      </c>
      <c r="G54" s="5" t="s">
        <v>114</v>
      </c>
      <c r="H54" s="5" t="s">
        <v>904</v>
      </c>
      <c r="I54" s="5" t="s">
        <v>905</v>
      </c>
      <c r="J54" s="6" t="s">
        <v>906</v>
      </c>
      <c r="L54" s="1">
        <v>2.5000000000000001E-2</v>
      </c>
      <c r="M54" s="1">
        <v>2.5000000000000001E-2</v>
      </c>
      <c r="P54" s="1" t="s">
        <v>735</v>
      </c>
      <c r="Q54" s="10">
        <f t="shared" si="11"/>
        <v>18381.408948937496</v>
      </c>
    </row>
    <row r="55" spans="1:17" x14ac:dyDescent="0.25">
      <c r="A55" s="1" t="s">
        <v>923</v>
      </c>
      <c r="B55" s="50">
        <f>J55*I55</f>
        <v>62443.158874999994</v>
      </c>
      <c r="C55" s="50">
        <f t="shared" ref="C55:C63" si="12">B55*$B$8</f>
        <v>4776.9016539374998</v>
      </c>
      <c r="D55" s="50">
        <f>(B55*$B$7)</f>
        <v>12488.631775</v>
      </c>
      <c r="E55" s="50" cm="1">
        <f t="array" ref="E55">SUM(($C$2:$C$3)+(B55*$B$4))*I55</f>
        <v>11984.495794375</v>
      </c>
      <c r="F55" s="50">
        <f t="shared" ref="F55:F61" si="13">B55*$B$6</f>
        <v>1642.2550784124999</v>
      </c>
      <c r="G55" s="50">
        <f>$C$5</f>
        <v>33</v>
      </c>
      <c r="I55" s="49">
        <v>0.5</v>
      </c>
      <c r="J55" s="49">
        <f>121840.31*1.025</f>
        <v>124886.31774999999</v>
      </c>
      <c r="P55" s="1" t="s">
        <v>736</v>
      </c>
      <c r="Q55" s="10">
        <f t="shared" si="11"/>
        <v>23075.381108333331</v>
      </c>
    </row>
    <row r="56" spans="1:17" x14ac:dyDescent="0.25">
      <c r="A56" s="1" t="s">
        <v>924</v>
      </c>
      <c r="B56" s="50">
        <f>(52*25*J56)*I56</f>
        <v>18213</v>
      </c>
      <c r="C56" s="50">
        <f t="shared" si="12"/>
        <v>1393.2945</v>
      </c>
      <c r="D56" s="50">
        <f>(B56*$B$7)</f>
        <v>3642.6000000000004</v>
      </c>
      <c r="E56" s="50" cm="1">
        <f t="array" ref="E56">SUM(($C$2:$C$3)+(B56*$B$4))*I56</f>
        <v>11763.344999999999</v>
      </c>
      <c r="F56" s="50">
        <f t="shared" si="13"/>
        <v>479.00190000000003</v>
      </c>
      <c r="G56" s="50">
        <f>$C$5</f>
        <v>33</v>
      </c>
      <c r="H56" s="1" t="s">
        <v>925</v>
      </c>
      <c r="I56" s="49">
        <v>0.5</v>
      </c>
      <c r="J56" s="49">
        <v>28.02</v>
      </c>
      <c r="L56" s="54">
        <f>J56*L54</f>
        <v>0.70050000000000001</v>
      </c>
      <c r="M56" s="54">
        <f>(J56+L56)*M54</f>
        <v>0.71801250000000005</v>
      </c>
      <c r="P56" s="1" t="s">
        <v>737</v>
      </c>
      <c r="Q56" s="10">
        <f t="shared" si="11"/>
        <v>43334.661416597228</v>
      </c>
    </row>
    <row r="57" spans="1:17" x14ac:dyDescent="0.25">
      <c r="A57" s="1" t="s">
        <v>926</v>
      </c>
      <c r="B57" s="50">
        <f>(52*16*J57)*I57</f>
        <v>10370.879999999999</v>
      </c>
      <c r="C57" s="50">
        <f t="shared" si="12"/>
        <v>793.37231999999995</v>
      </c>
      <c r="D57" s="50">
        <f>(B57*$B$7)</f>
        <v>2074.1759999999999</v>
      </c>
      <c r="E57" s="50" cm="1">
        <f t="array" ref="E57">SUM(($C$2:$C$3)+(B57*$B$4))*I57</f>
        <v>11724.134400000001</v>
      </c>
      <c r="F57" s="50">
        <f t="shared" si="13"/>
        <v>272.754144</v>
      </c>
      <c r="G57" s="50">
        <f>$C$5</f>
        <v>33</v>
      </c>
      <c r="H57" s="1" t="s">
        <v>1161</v>
      </c>
      <c r="I57" s="49">
        <v>0.5</v>
      </c>
      <c r="J57" s="49">
        <v>24.93</v>
      </c>
      <c r="L57" s="54">
        <f>J57*L54</f>
        <v>0.62325000000000008</v>
      </c>
      <c r="M57" s="54">
        <f>(L57+J57)*M54</f>
        <v>0.63883124999999996</v>
      </c>
      <c r="P57" s="1" t="s">
        <v>738</v>
      </c>
      <c r="Q57" s="10">
        <f t="shared" si="11"/>
        <v>6099.0569357458326</v>
      </c>
    </row>
    <row r="58" spans="1:17" x14ac:dyDescent="0.25">
      <c r="A58" s="1" t="str">
        <f>"Staff (FT-"&amp;I58&amp;")"</f>
        <v>Staff (FT-2)</v>
      </c>
      <c r="B58" s="50">
        <f>(2080*J58)*I58/2</f>
        <v>49046.399999999994</v>
      </c>
      <c r="C58" s="50">
        <f t="shared" si="12"/>
        <v>3752.0495999999994</v>
      </c>
      <c r="D58" s="50">
        <v>0</v>
      </c>
      <c r="E58" s="50">
        <v>0</v>
      </c>
      <c r="F58" s="50">
        <f t="shared" si="13"/>
        <v>1289.9203199999999</v>
      </c>
      <c r="G58" s="50">
        <v>0</v>
      </c>
      <c r="I58" s="49">
        <v>2</v>
      </c>
      <c r="J58" s="49">
        <v>23.58</v>
      </c>
      <c r="L58" s="54">
        <f>J58*L54*2</f>
        <v>1.179</v>
      </c>
      <c r="M58" s="54">
        <f>(L58+J58)*M54*2</f>
        <v>1.2379499999999999</v>
      </c>
      <c r="P58" s="1" t="s">
        <v>740</v>
      </c>
      <c r="Q58" s="10">
        <f t="shared" si="11"/>
        <v>99</v>
      </c>
    </row>
    <row r="59" spans="1:17" x14ac:dyDescent="0.25">
      <c r="A59" s="1" t="str">
        <f>"Staff (PT-"&amp;I59&amp;")"</f>
        <v>Staff (PT-3)</v>
      </c>
      <c r="B59" s="50">
        <f>(2080*J59)*I59/2</f>
        <v>59280</v>
      </c>
      <c r="C59" s="50">
        <f t="shared" si="12"/>
        <v>4534.92</v>
      </c>
      <c r="D59" s="50">
        <v>0</v>
      </c>
      <c r="E59" s="50">
        <v>0</v>
      </c>
      <c r="F59" s="50">
        <f t="shared" si="13"/>
        <v>1559.0640000000001</v>
      </c>
      <c r="G59" s="50">
        <v>0</v>
      </c>
      <c r="I59" s="49">
        <v>3</v>
      </c>
      <c r="J59" s="49">
        <v>19</v>
      </c>
      <c r="L59" s="54">
        <f>J59*L54*3</f>
        <v>1.425</v>
      </c>
      <c r="M59" s="54">
        <f>(L59+J59)*M54*3</f>
        <v>1.5318749999999999</v>
      </c>
    </row>
    <row r="60" spans="1:17" x14ac:dyDescent="0.25">
      <c r="A60" s="1" t="s">
        <v>911</v>
      </c>
      <c r="B60" s="50">
        <f>J60*I60</f>
        <v>24349.866666666661</v>
      </c>
      <c r="C60" s="50">
        <f t="shared" si="12"/>
        <v>1862.7647999999995</v>
      </c>
      <c r="D60" s="50">
        <f>(B60*$B$7)</f>
        <v>4869.9733333333324</v>
      </c>
      <c r="E60" s="50" cm="1">
        <f t="array" ref="E60">SUM(($C$2:$C$3)+(B60*$B$4))*I60</f>
        <v>7862.6862222222226</v>
      </c>
      <c r="F60" s="50">
        <f t="shared" si="13"/>
        <v>640.40149333333318</v>
      </c>
      <c r="G60" s="50">
        <v>0</v>
      </c>
      <c r="I60" s="49">
        <f>1/3</f>
        <v>0.33333333333333331</v>
      </c>
      <c r="J60" s="49">
        <f>$J$20</f>
        <v>73049.599999999991</v>
      </c>
    </row>
    <row r="61" spans="1:17" x14ac:dyDescent="0.25">
      <c r="A61" s="1" t="s">
        <v>913</v>
      </c>
      <c r="B61" s="50">
        <f>J61*I61</f>
        <v>8199.9999999999982</v>
      </c>
      <c r="C61" s="50">
        <f t="shared" si="12"/>
        <v>627.29999999999984</v>
      </c>
      <c r="D61" s="50">
        <v>0</v>
      </c>
      <c r="E61" s="50">
        <v>0</v>
      </c>
      <c r="F61" s="50">
        <f t="shared" si="13"/>
        <v>215.65999999999997</v>
      </c>
      <c r="G61" s="50">
        <v>0</v>
      </c>
      <c r="I61" s="49">
        <f>1/3</f>
        <v>0.33333333333333331</v>
      </c>
      <c r="J61" s="49">
        <f>$J$21</f>
        <v>24599.999999999996</v>
      </c>
    </row>
    <row r="62" spans="1:17" x14ac:dyDescent="0.25">
      <c r="A62" s="1" t="s">
        <v>930</v>
      </c>
      <c r="B62" s="50">
        <f>J62*I62</f>
        <v>8376.5499999999993</v>
      </c>
      <c r="C62" s="50">
        <f t="shared" si="12"/>
        <v>640.80607499999996</v>
      </c>
      <c r="D62" s="50"/>
      <c r="E62" s="50"/>
      <c r="F62" s="50"/>
      <c r="G62" s="50"/>
      <c r="I62" s="49">
        <v>0.5</v>
      </c>
      <c r="J62" s="49">
        <v>16753.099999999999</v>
      </c>
    </row>
    <row r="63" spans="1:17" x14ac:dyDescent="0.25">
      <c r="B63" s="50"/>
      <c r="C63" s="50">
        <f t="shared" si="12"/>
        <v>0</v>
      </c>
      <c r="D63" s="50"/>
      <c r="E63" s="50"/>
      <c r="F63" s="50"/>
      <c r="G63" s="50"/>
      <c r="I63" s="49"/>
      <c r="J63" s="55">
        <f>SUM(L56:L59)</f>
        <v>3.9277499999999996</v>
      </c>
    </row>
    <row r="64" spans="1:17" ht="21" customHeight="1" thickBot="1" x14ac:dyDescent="0.3">
      <c r="A64" s="40" t="s">
        <v>934</v>
      </c>
      <c r="B64" s="43">
        <f t="shared" ref="B64:G64" si="14">SUM(B55:B63)</f>
        <v>240279.85554166665</v>
      </c>
      <c r="C64" s="43">
        <f t="shared" si="14"/>
        <v>18381.408948937496</v>
      </c>
      <c r="D64" s="43">
        <f t="shared" si="14"/>
        <v>23075.381108333331</v>
      </c>
      <c r="E64" s="43">
        <f t="shared" si="14"/>
        <v>43334.661416597228</v>
      </c>
      <c r="F64" s="43">
        <f t="shared" si="14"/>
        <v>6099.0569357458326</v>
      </c>
      <c r="G64" s="43">
        <f t="shared" si="14"/>
        <v>99</v>
      </c>
      <c r="H64" s="43">
        <f>SUM(B64:G64)</f>
        <v>331269.36395128054</v>
      </c>
      <c r="J64" s="55">
        <f>SUM(M56:M59)</f>
        <v>4.1266687500000003</v>
      </c>
    </row>
    <row r="65" spans="1:8" ht="15.75" thickTop="1" x14ac:dyDescent="0.25">
      <c r="A65" s="1" t="s">
        <v>915</v>
      </c>
      <c r="B65" s="51" t="e">
        <f>_xlfn.XLOOKUP(B53,'Master Budget'!$G$4:$G$210,'Master Budget'!#REF!,0)</f>
        <v>#REF!</v>
      </c>
      <c r="C65" s="51" t="e">
        <f>_xlfn.XLOOKUP(C53,'Master Budget'!$G$4:$G$210,'Master Budget'!#REF!,0)</f>
        <v>#REF!</v>
      </c>
      <c r="D65" s="51" t="e">
        <f>_xlfn.XLOOKUP(D53,'Master Budget'!$G$4:$G$210,'Master Budget'!#REF!,0)</f>
        <v>#REF!</v>
      </c>
      <c r="E65" s="51" t="e">
        <f>_xlfn.XLOOKUP(E53,'Master Budget'!$G$4:$G$210,'Master Budget'!#REF!,0)</f>
        <v>#REF!</v>
      </c>
      <c r="F65" s="51" t="e">
        <f>_xlfn.XLOOKUP(F53,'Master Budget'!$G$4:$G$210,'Master Budget'!#REF!,0)</f>
        <v>#REF!</v>
      </c>
      <c r="G65" s="51" t="e">
        <f>_xlfn.XLOOKUP(G53,'Master Budget'!$G$4:$G$210,'Master Budget'!#REF!,0)</f>
        <v>#REF!</v>
      </c>
    </row>
    <row r="66" spans="1:8" x14ac:dyDescent="0.25">
      <c r="B66" s="52" t="e">
        <f t="shared" ref="B66:G66" si="15">B64-B65</f>
        <v>#REF!</v>
      </c>
      <c r="C66" s="52" t="e">
        <f t="shared" si="15"/>
        <v>#REF!</v>
      </c>
      <c r="D66" s="52" t="e">
        <f t="shared" si="15"/>
        <v>#REF!</v>
      </c>
      <c r="E66" s="52" t="e">
        <f t="shared" si="15"/>
        <v>#REF!</v>
      </c>
      <c r="F66" s="52" t="e">
        <f t="shared" si="15"/>
        <v>#REF!</v>
      </c>
      <c r="G66" s="52" t="e">
        <f t="shared" si="15"/>
        <v>#REF!</v>
      </c>
      <c r="H66" s="56">
        <f>SUM(H64,H49,H34,H23)</f>
        <v>1808497.6960655334</v>
      </c>
    </row>
    <row r="67" spans="1:8" x14ac:dyDescent="0.25">
      <c r="B67" s="10"/>
      <c r="C67" s="10"/>
      <c r="D67" s="10"/>
      <c r="E67" s="10"/>
      <c r="F67" s="10"/>
      <c r="G67" s="10"/>
    </row>
    <row r="68" spans="1:8" x14ac:dyDescent="0.25">
      <c r="B68" s="10"/>
      <c r="C68" s="10"/>
      <c r="D68" s="10"/>
      <c r="E68" s="10"/>
      <c r="F68" s="10"/>
      <c r="G68" s="10"/>
    </row>
  </sheetData>
  <pageMargins left="0.7" right="0.7" top="0.75" bottom="0.75" header="0.3" footer="0.3"/>
  <pageSetup scale="6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5"/>
  <sheetViews>
    <sheetView zoomScaleNormal="100" workbookViewId="0">
      <pane ySplit="9" topLeftCell="A10" activePane="bottomLeft" state="frozen"/>
      <selection sqref="A1:XFD1048576"/>
      <selection pane="bottomLeft" sqref="A1:XFD1048576"/>
    </sheetView>
  </sheetViews>
  <sheetFormatPr defaultRowHeight="15" x14ac:dyDescent="0.25"/>
  <cols>
    <col min="1" max="1" width="24.28515625" style="1" customWidth="1"/>
    <col min="2" max="7" width="13.5703125" style="1" customWidth="1"/>
    <col min="8" max="8" width="19.5703125" style="1" bestFit="1" customWidth="1"/>
    <col min="9" max="9" width="6" style="1" bestFit="1" customWidth="1"/>
    <col min="10" max="10" width="11.85546875" style="10" bestFit="1" customWidth="1"/>
    <col min="11" max="16384" width="9.140625" style="1"/>
  </cols>
  <sheetData>
    <row r="1" spans="1:10" x14ac:dyDescent="0.25">
      <c r="B1" s="5" t="s">
        <v>888</v>
      </c>
      <c r="C1" s="5" t="s">
        <v>889</v>
      </c>
      <c r="J1" s="1"/>
    </row>
    <row r="2" spans="1:10" x14ac:dyDescent="0.25">
      <c r="A2" s="1" t="s">
        <v>890</v>
      </c>
      <c r="B2" s="33">
        <f>1800</f>
        <v>1800</v>
      </c>
      <c r="C2" s="33">
        <f>B2*12</f>
        <v>21600</v>
      </c>
      <c r="J2" s="1"/>
    </row>
    <row r="3" spans="1:10" x14ac:dyDescent="0.25">
      <c r="A3" s="1" t="s">
        <v>892</v>
      </c>
      <c r="B3" s="10">
        <f>120</f>
        <v>120</v>
      </c>
      <c r="C3" s="10">
        <f>B3*12</f>
        <v>1440</v>
      </c>
      <c r="J3" s="1"/>
    </row>
    <row r="4" spans="1:10" x14ac:dyDescent="0.25">
      <c r="A4" s="1" t="s">
        <v>893</v>
      </c>
      <c r="B4" s="36">
        <v>5.0000000000000001E-3</v>
      </c>
      <c r="C4" s="10"/>
      <c r="J4" s="1"/>
    </row>
    <row r="5" spans="1:10" x14ac:dyDescent="0.25">
      <c r="A5" s="1" t="s">
        <v>895</v>
      </c>
      <c r="B5" s="10">
        <v>2.75</v>
      </c>
      <c r="C5" s="10">
        <f>B5*12</f>
        <v>33</v>
      </c>
      <c r="J5" s="1"/>
    </row>
    <row r="6" spans="1:10" x14ac:dyDescent="0.25">
      <c r="A6" s="1" t="s">
        <v>891</v>
      </c>
      <c r="B6" s="37">
        <v>2.63E-2</v>
      </c>
      <c r="C6" s="10"/>
      <c r="J6" s="1"/>
    </row>
    <row r="7" spans="1:10" x14ac:dyDescent="0.25">
      <c r="A7" s="1" t="s">
        <v>106</v>
      </c>
      <c r="B7" s="38">
        <v>0.2</v>
      </c>
      <c r="C7" s="10"/>
      <c r="J7" s="1"/>
    </row>
    <row r="8" spans="1:10" x14ac:dyDescent="0.25">
      <c r="A8" s="1" t="s">
        <v>894</v>
      </c>
      <c r="B8" s="37">
        <v>7.6499999999999999E-2</v>
      </c>
      <c r="C8" s="10"/>
      <c r="J8" s="1"/>
    </row>
    <row r="9" spans="1:10" x14ac:dyDescent="0.25">
      <c r="B9" s="10"/>
      <c r="C9" s="10"/>
      <c r="J9" s="1"/>
    </row>
    <row r="10" spans="1:10" x14ac:dyDescent="0.25">
      <c r="E10" s="39"/>
      <c r="F10" s="39"/>
      <c r="G10" s="39"/>
      <c r="J10" s="1"/>
    </row>
    <row r="11" spans="1:10" x14ac:dyDescent="0.25">
      <c r="A11" s="40" t="s">
        <v>898</v>
      </c>
      <c r="B11" s="41" t="s">
        <v>268</v>
      </c>
      <c r="C11" s="41" t="s">
        <v>269</v>
      </c>
      <c r="D11" s="41" t="s">
        <v>270</v>
      </c>
      <c r="E11" s="41" t="s">
        <v>271</v>
      </c>
      <c r="F11" s="41" t="s">
        <v>272</v>
      </c>
      <c r="G11" s="41" t="s">
        <v>274</v>
      </c>
      <c r="I11" s="6" t="s">
        <v>1163</v>
      </c>
      <c r="J11" s="6"/>
    </row>
    <row r="12" spans="1:10" s="6" customFormat="1" x14ac:dyDescent="0.25">
      <c r="B12" s="5" t="s">
        <v>900</v>
      </c>
      <c r="C12" s="5" t="s">
        <v>901</v>
      </c>
      <c r="D12" s="5" t="s">
        <v>106</v>
      </c>
      <c r="E12" s="5" t="s">
        <v>902</v>
      </c>
      <c r="F12" s="5" t="s">
        <v>903</v>
      </c>
      <c r="G12" s="5" t="s">
        <v>114</v>
      </c>
      <c r="H12" s="5" t="s">
        <v>904</v>
      </c>
      <c r="I12" s="5" t="s">
        <v>1164</v>
      </c>
      <c r="J12" s="5" t="s">
        <v>906</v>
      </c>
    </row>
    <row r="13" spans="1:10" x14ac:dyDescent="0.25">
      <c r="A13" s="7" t="s">
        <v>907</v>
      </c>
      <c r="B13" s="10"/>
      <c r="C13" s="10"/>
      <c r="D13" s="10"/>
      <c r="E13" s="10"/>
      <c r="F13" s="10"/>
      <c r="G13" s="10"/>
      <c r="I13" s="7"/>
      <c r="J13" s="42"/>
    </row>
    <row r="14" spans="1:10" x14ac:dyDescent="0.25">
      <c r="A14" s="1" t="s">
        <v>908</v>
      </c>
      <c r="B14" s="33">
        <f>J14*I14</f>
        <v>98000</v>
      </c>
      <c r="C14" s="33">
        <f>B14*$B$8</f>
        <v>7497</v>
      </c>
      <c r="D14" s="33">
        <f>B14*$B$7</f>
        <v>19600</v>
      </c>
      <c r="E14" s="33" cm="1">
        <f t="array" ref="E14">SUM(($C$2:$C$3)+(B14*$B$4))*I14</f>
        <v>24020</v>
      </c>
      <c r="F14" s="33">
        <f>B14*$B$6</f>
        <v>2577.4</v>
      </c>
      <c r="G14" s="33">
        <v>0</v>
      </c>
      <c r="I14" s="10">
        <v>1</v>
      </c>
      <c r="J14" s="10">
        <v>98000</v>
      </c>
    </row>
    <row r="15" spans="1:10" x14ac:dyDescent="0.25">
      <c r="A15" s="1" t="s">
        <v>1156</v>
      </c>
      <c r="B15" s="10">
        <f>J15*I15</f>
        <v>52000</v>
      </c>
      <c r="C15" s="10">
        <f t="shared" ref="C15:C23" si="0">B15*$B$8</f>
        <v>3978</v>
      </c>
      <c r="D15" s="10">
        <f>B15*$B$7</f>
        <v>10400</v>
      </c>
      <c r="E15" s="10" cm="1">
        <f t="array" ref="E15">SUM(($C$2:$C$3)+(B15*$B$4))*I15</f>
        <v>23560</v>
      </c>
      <c r="F15" s="10">
        <f t="shared" ref="F15:F23" si="1">B15*$B$6</f>
        <v>1367.6000000000001</v>
      </c>
      <c r="G15" s="10">
        <v>0</v>
      </c>
      <c r="I15" s="10">
        <v>1</v>
      </c>
      <c r="J15" s="10">
        <f>(2080/2)*20+(3120/2)*20</f>
        <v>52000</v>
      </c>
    </row>
    <row r="16" spans="1:10" x14ac:dyDescent="0.25">
      <c r="A16" s="1" t="s">
        <v>1156</v>
      </c>
      <c r="B16" s="10">
        <f>J16*I16</f>
        <v>52000</v>
      </c>
      <c r="C16" s="10">
        <f t="shared" si="0"/>
        <v>3978</v>
      </c>
      <c r="D16" s="10">
        <f>B16*$B$7</f>
        <v>10400</v>
      </c>
      <c r="E16" s="10" cm="1">
        <f t="array" ref="E16">SUM(($C$2:$C$3)+(B16*$B$4))*I16</f>
        <v>23560</v>
      </c>
      <c r="F16" s="10">
        <f t="shared" si="1"/>
        <v>1367.6000000000001</v>
      </c>
      <c r="G16" s="10">
        <v>0</v>
      </c>
      <c r="H16" s="1" t="s">
        <v>1157</v>
      </c>
      <c r="I16" s="10">
        <v>1</v>
      </c>
      <c r="J16" s="10">
        <f>(2080/2)*20+(3120/2)*20</f>
        <v>52000</v>
      </c>
    </row>
    <row r="17" spans="1:10" x14ac:dyDescent="0.25">
      <c r="A17" s="1" t="s">
        <v>1158</v>
      </c>
      <c r="B17" s="10">
        <f>J17*I17</f>
        <v>120000</v>
      </c>
      <c r="C17" s="10">
        <f t="shared" si="0"/>
        <v>9180</v>
      </c>
      <c r="D17" s="10">
        <f>B17*$B$7</f>
        <v>24000</v>
      </c>
      <c r="E17" s="10" cm="1">
        <f t="array" ref="E17">SUM(($C$2:$C$3)+(B17*$B$4))*I17</f>
        <v>48480</v>
      </c>
      <c r="F17" s="10">
        <f t="shared" si="1"/>
        <v>3156</v>
      </c>
      <c r="G17" s="10">
        <v>0</v>
      </c>
      <c r="I17" s="10">
        <v>2</v>
      </c>
      <c r="J17" s="10">
        <v>60000</v>
      </c>
    </row>
    <row r="18" spans="1:10" x14ac:dyDescent="0.25">
      <c r="A18" s="1" t="s">
        <v>1158</v>
      </c>
      <c r="B18" s="10">
        <f>J18*I18</f>
        <v>120000</v>
      </c>
      <c r="C18" s="10">
        <f t="shared" si="0"/>
        <v>9180</v>
      </c>
      <c r="D18" s="10">
        <f>B18*$B$7</f>
        <v>24000</v>
      </c>
      <c r="E18" s="10" cm="1">
        <f t="array" ref="E18">SUM(($C$2:$C$3)+(B18*$B$4))*I18</f>
        <v>48480</v>
      </c>
      <c r="F18" s="10">
        <f t="shared" si="1"/>
        <v>3156</v>
      </c>
      <c r="G18" s="10">
        <v>0</v>
      </c>
      <c r="H18" s="1" t="s">
        <v>1157</v>
      </c>
      <c r="I18" s="10">
        <v>2</v>
      </c>
      <c r="J18" s="10">
        <v>60000</v>
      </c>
    </row>
    <row r="19" spans="1:10" x14ac:dyDescent="0.25">
      <c r="A19" s="1" t="s">
        <v>910</v>
      </c>
      <c r="B19" s="10">
        <f>J19</f>
        <v>160000</v>
      </c>
      <c r="C19" s="10">
        <f t="shared" si="0"/>
        <v>12240</v>
      </c>
      <c r="D19" s="10">
        <v>0</v>
      </c>
      <c r="E19" s="10">
        <v>0</v>
      </c>
      <c r="F19" s="10">
        <f t="shared" si="1"/>
        <v>4208</v>
      </c>
      <c r="G19" s="10">
        <v>0</v>
      </c>
      <c r="I19" s="10"/>
      <c r="J19" s="10">
        <v>160000</v>
      </c>
    </row>
    <row r="20" spans="1:10" x14ac:dyDescent="0.25">
      <c r="A20" s="1" t="s">
        <v>1165</v>
      </c>
      <c r="B20" s="10">
        <v>0</v>
      </c>
      <c r="C20" s="10">
        <f t="shared" si="0"/>
        <v>0</v>
      </c>
      <c r="D20" s="10">
        <v>0</v>
      </c>
      <c r="E20" s="10">
        <v>0</v>
      </c>
      <c r="F20" s="10">
        <f t="shared" si="1"/>
        <v>0</v>
      </c>
      <c r="G20" s="10">
        <v>0</v>
      </c>
      <c r="I20" s="10"/>
    </row>
    <row r="21" spans="1:10" x14ac:dyDescent="0.25">
      <c r="A21" s="1" t="s">
        <v>1166</v>
      </c>
      <c r="B21" s="10">
        <f>J21*I21</f>
        <v>39000</v>
      </c>
      <c r="C21" s="10">
        <f t="shared" si="0"/>
        <v>2983.5</v>
      </c>
      <c r="D21" s="10">
        <v>0</v>
      </c>
      <c r="E21" s="10">
        <v>0</v>
      </c>
      <c r="F21" s="10">
        <f t="shared" si="1"/>
        <v>1025.7</v>
      </c>
      <c r="G21" s="10">
        <f>$C$5</f>
        <v>33</v>
      </c>
      <c r="I21" s="10">
        <v>1</v>
      </c>
      <c r="J21" s="10">
        <v>39000</v>
      </c>
    </row>
    <row r="22" spans="1:10" x14ac:dyDescent="0.25">
      <c r="A22" s="1" t="s">
        <v>911</v>
      </c>
      <c r="B22" s="10">
        <f>J22*I22</f>
        <v>20000</v>
      </c>
      <c r="C22" s="10">
        <f t="shared" si="0"/>
        <v>1530</v>
      </c>
      <c r="D22" s="10">
        <f>ROUND((B22*$B$7)/3,2)</f>
        <v>1333.33</v>
      </c>
      <c r="E22" s="10" cm="1">
        <f t="array" ref="E22">SUM(($C$2:$C$3)+(B22*$B$4))*I22</f>
        <v>7746.6666666666661</v>
      </c>
      <c r="F22" s="10">
        <f t="shared" si="1"/>
        <v>526</v>
      </c>
      <c r="G22" s="10">
        <f>$C$5*I22</f>
        <v>11</v>
      </c>
      <c r="I22" s="10">
        <f>1/3</f>
        <v>0.33333333333333331</v>
      </c>
      <c r="J22" s="10">
        <f>60000</f>
        <v>60000</v>
      </c>
    </row>
    <row r="23" spans="1:10" x14ac:dyDescent="0.25">
      <c r="A23" s="1" t="s">
        <v>913</v>
      </c>
      <c r="B23" s="10">
        <f>J23*I23</f>
        <v>8000</v>
      </c>
      <c r="C23" s="10">
        <f t="shared" si="0"/>
        <v>612</v>
      </c>
      <c r="D23" s="10">
        <v>0</v>
      </c>
      <c r="E23" s="10">
        <v>0</v>
      </c>
      <c r="F23" s="10">
        <f t="shared" si="1"/>
        <v>210.4</v>
      </c>
      <c r="G23" s="10">
        <v>0</v>
      </c>
      <c r="I23" s="10">
        <f>1/3</f>
        <v>0.33333333333333331</v>
      </c>
      <c r="J23" s="10">
        <f>24000</f>
        <v>24000</v>
      </c>
    </row>
    <row r="24" spans="1:10" x14ac:dyDescent="0.25">
      <c r="B24" s="10"/>
      <c r="C24" s="10"/>
      <c r="D24" s="10"/>
      <c r="E24" s="10"/>
      <c r="F24" s="10"/>
      <c r="G24" s="10"/>
      <c r="I24" s="10"/>
    </row>
    <row r="25" spans="1:10" ht="21" customHeight="1" thickBot="1" x14ac:dyDescent="0.3">
      <c r="A25" s="40" t="s">
        <v>914</v>
      </c>
      <c r="B25" s="43">
        <f t="shared" ref="B25:G25" si="2">SUM(B14:B24)</f>
        <v>669000</v>
      </c>
      <c r="C25" s="43">
        <f t="shared" si="2"/>
        <v>51178.5</v>
      </c>
      <c r="D25" s="43">
        <f t="shared" si="2"/>
        <v>89733.33</v>
      </c>
      <c r="E25" s="43">
        <f t="shared" si="2"/>
        <v>175846.66666666666</v>
      </c>
      <c r="F25" s="43">
        <f t="shared" si="2"/>
        <v>17594.7</v>
      </c>
      <c r="G25" s="43">
        <f t="shared" si="2"/>
        <v>44</v>
      </c>
      <c r="H25" s="43">
        <f>SUM(B25:G25)</f>
        <v>1003397.1966666665</v>
      </c>
      <c r="I25" s="10"/>
    </row>
    <row r="26" spans="1:10" ht="21" customHeight="1" thickTop="1" x14ac:dyDescent="0.25">
      <c r="A26" s="1" t="s">
        <v>1167</v>
      </c>
      <c r="B26" s="35"/>
      <c r="C26" s="44"/>
      <c r="D26" s="44"/>
      <c r="E26" s="44"/>
      <c r="F26" s="44"/>
      <c r="G26" s="44"/>
    </row>
    <row r="27" spans="1:10" x14ac:dyDescent="0.25">
      <c r="B27" s="10"/>
      <c r="C27" s="10"/>
      <c r="D27" s="10"/>
      <c r="E27" s="10"/>
      <c r="F27" s="10"/>
      <c r="G27" s="10"/>
    </row>
    <row r="28" spans="1:10" x14ac:dyDescent="0.25">
      <c r="A28" s="40" t="s">
        <v>898</v>
      </c>
      <c r="B28" s="41" t="s">
        <v>424</v>
      </c>
      <c r="C28" s="41" t="s">
        <v>425</v>
      </c>
      <c r="D28" s="41" t="s">
        <v>426</v>
      </c>
      <c r="E28" s="41"/>
      <c r="F28" s="41" t="s">
        <v>427</v>
      </c>
      <c r="G28" s="41"/>
      <c r="I28" s="6" t="s">
        <v>1163</v>
      </c>
      <c r="J28" s="6"/>
    </row>
    <row r="29" spans="1:10" x14ac:dyDescent="0.25">
      <c r="A29" s="7" t="s">
        <v>916</v>
      </c>
      <c r="B29" s="5" t="s">
        <v>900</v>
      </c>
      <c r="C29" s="5" t="s">
        <v>901</v>
      </c>
      <c r="D29" s="5" t="s">
        <v>106</v>
      </c>
      <c r="E29" s="5" t="s">
        <v>902</v>
      </c>
      <c r="F29" s="5" t="s">
        <v>903</v>
      </c>
      <c r="G29" s="5"/>
      <c r="H29" s="5" t="s">
        <v>904</v>
      </c>
      <c r="I29" s="5" t="s">
        <v>1168</v>
      </c>
      <c r="J29" s="5" t="s">
        <v>906</v>
      </c>
    </row>
    <row r="30" spans="1:10" x14ac:dyDescent="0.25">
      <c r="A30" s="1" t="s">
        <v>908</v>
      </c>
      <c r="B30" s="10">
        <f>J30*I30</f>
        <v>30000</v>
      </c>
      <c r="C30" s="10">
        <f>B30*$B$8</f>
        <v>2295</v>
      </c>
      <c r="D30" s="10">
        <v>0</v>
      </c>
      <c r="E30" s="10">
        <v>0</v>
      </c>
      <c r="F30" s="10">
        <f>B30*$B$6</f>
        <v>789</v>
      </c>
      <c r="G30" s="10">
        <v>0</v>
      </c>
      <c r="I30" s="10">
        <v>1</v>
      </c>
      <c r="J30" s="45">
        <v>30000</v>
      </c>
    </row>
    <row r="31" spans="1:10" x14ac:dyDescent="0.25">
      <c r="A31" s="1" t="s">
        <v>918</v>
      </c>
      <c r="B31" s="10">
        <f>J31*I31</f>
        <v>10000</v>
      </c>
      <c r="C31" s="10">
        <f>B31*$B$8</f>
        <v>765</v>
      </c>
      <c r="D31" s="10">
        <v>0</v>
      </c>
      <c r="E31" s="10">
        <v>0</v>
      </c>
      <c r="F31" s="10">
        <f>B31*$B$6</f>
        <v>263</v>
      </c>
      <c r="G31" s="10">
        <v>0</v>
      </c>
      <c r="I31" s="10">
        <v>1</v>
      </c>
      <c r="J31" s="45">
        <v>10000</v>
      </c>
    </row>
    <row r="32" spans="1:10" x14ac:dyDescent="0.25">
      <c r="A32" s="1" t="s">
        <v>918</v>
      </c>
      <c r="B32" s="10">
        <f>J32*I32</f>
        <v>10000</v>
      </c>
      <c r="C32" s="10">
        <f>B32*$B$8</f>
        <v>765</v>
      </c>
      <c r="D32" s="10">
        <v>0</v>
      </c>
      <c r="E32" s="10">
        <v>0</v>
      </c>
      <c r="F32" s="10">
        <f>B32*$B$6</f>
        <v>263</v>
      </c>
      <c r="G32" s="10">
        <v>0</v>
      </c>
      <c r="H32" s="1" t="s">
        <v>919</v>
      </c>
      <c r="I32" s="10">
        <v>1</v>
      </c>
      <c r="J32" s="45">
        <v>10000</v>
      </c>
    </row>
    <row r="33" spans="1:11" x14ac:dyDescent="0.25">
      <c r="A33" s="1" t="s">
        <v>1160</v>
      </c>
      <c r="B33" s="10">
        <f>J33*I33</f>
        <v>62400</v>
      </c>
      <c r="C33" s="10">
        <f>B33*$B$8</f>
        <v>4773.6000000000004</v>
      </c>
      <c r="D33" s="10">
        <v>0</v>
      </c>
      <c r="E33" s="10">
        <v>0</v>
      </c>
      <c r="F33" s="10">
        <f>B33*$B$6</f>
        <v>1641.1200000000001</v>
      </c>
      <c r="G33" s="10">
        <v>0</v>
      </c>
      <c r="I33" s="10">
        <v>4</v>
      </c>
      <c r="J33" s="45">
        <f>K33*2080/2</f>
        <v>15600</v>
      </c>
      <c r="K33" s="10">
        <v>15</v>
      </c>
    </row>
    <row r="34" spans="1:11" x14ac:dyDescent="0.25">
      <c r="B34" s="10"/>
      <c r="C34" s="10">
        <f>B34*$B$8</f>
        <v>0</v>
      </c>
      <c r="D34" s="10"/>
      <c r="E34" s="10"/>
      <c r="F34" s="10"/>
      <c r="G34" s="10"/>
      <c r="I34" s="10"/>
    </row>
    <row r="35" spans="1:11" ht="21" customHeight="1" thickBot="1" x14ac:dyDescent="0.3">
      <c r="A35" s="40" t="s">
        <v>921</v>
      </c>
      <c r="B35" s="43">
        <f>SUM(B30:B34)</f>
        <v>112400</v>
      </c>
      <c r="C35" s="43">
        <f>SUM(C30:C34)</f>
        <v>8598.6</v>
      </c>
      <c r="D35" s="43">
        <f>SUM(D30:D34)</f>
        <v>0</v>
      </c>
      <c r="E35" s="43">
        <f>SUM(E30:E34)</f>
        <v>0</v>
      </c>
      <c r="F35" s="43">
        <f>SUM(F30:F34)</f>
        <v>2956.12</v>
      </c>
      <c r="G35" s="43"/>
      <c r="H35" s="43">
        <f>SUM(B35:G35)</f>
        <v>123954.72</v>
      </c>
      <c r="I35" s="10"/>
    </row>
    <row r="36" spans="1:11" ht="15.75" thickTop="1" x14ac:dyDescent="0.25">
      <c r="B36" s="35"/>
      <c r="C36" s="35"/>
      <c r="D36" s="35"/>
      <c r="E36" s="35"/>
      <c r="F36" s="35"/>
      <c r="G36" s="35"/>
    </row>
    <row r="37" spans="1:11" x14ac:dyDescent="0.25">
      <c r="B37" s="10"/>
      <c r="C37" s="10"/>
      <c r="D37" s="10"/>
      <c r="E37" s="10"/>
      <c r="F37" s="10"/>
      <c r="G37" s="10"/>
    </row>
    <row r="38" spans="1:11" x14ac:dyDescent="0.25">
      <c r="A38" s="40" t="s">
        <v>898</v>
      </c>
      <c r="B38" s="41" t="s">
        <v>607</v>
      </c>
      <c r="C38" s="41" t="s">
        <v>608</v>
      </c>
      <c r="D38" s="41" t="s">
        <v>609</v>
      </c>
      <c r="E38" s="41" t="s">
        <v>610</v>
      </c>
      <c r="F38" s="41" t="s">
        <v>611</v>
      </c>
      <c r="G38" s="41" t="s">
        <v>613</v>
      </c>
      <c r="I38" s="6" t="s">
        <v>1163</v>
      </c>
      <c r="J38" s="6"/>
    </row>
    <row r="39" spans="1:11" x14ac:dyDescent="0.25">
      <c r="A39" s="7" t="s">
        <v>922</v>
      </c>
      <c r="B39" s="5" t="s">
        <v>900</v>
      </c>
      <c r="C39" s="5" t="s">
        <v>901</v>
      </c>
      <c r="D39" s="5" t="s">
        <v>106</v>
      </c>
      <c r="E39" s="5" t="s">
        <v>902</v>
      </c>
      <c r="F39" s="5" t="s">
        <v>903</v>
      </c>
      <c r="G39" s="5" t="s">
        <v>114</v>
      </c>
      <c r="H39" s="5" t="s">
        <v>904</v>
      </c>
      <c r="I39" s="5" t="s">
        <v>1168</v>
      </c>
      <c r="J39" s="5" t="s">
        <v>906</v>
      </c>
    </row>
    <row r="40" spans="1:11" x14ac:dyDescent="0.25">
      <c r="A40" s="1" t="s">
        <v>923</v>
      </c>
      <c r="B40" s="10">
        <f>J40*I40</f>
        <v>60920.154999999999</v>
      </c>
      <c r="C40" s="10">
        <f t="shared" ref="C40:C47" si="3">B40*$B$8</f>
        <v>4660.3918574999998</v>
      </c>
      <c r="D40" s="10">
        <f t="shared" ref="D40:D45" si="4">(B40*$B$7)</f>
        <v>12184.031000000001</v>
      </c>
      <c r="E40" s="10" cm="1">
        <f t="array" ref="E40">SUM(($C$2:$C$3)+(B40*$B$4))*I40</f>
        <v>11824.600774999999</v>
      </c>
      <c r="F40" s="10">
        <f t="shared" ref="F40:F46" si="5">B40*$B$6</f>
        <v>1602.2000765</v>
      </c>
      <c r="G40" s="10">
        <f>$C$5</f>
        <v>33</v>
      </c>
      <c r="I40" s="10">
        <v>0.5</v>
      </c>
      <c r="J40" s="10">
        <v>121840.31</v>
      </c>
    </row>
    <row r="41" spans="1:11" x14ac:dyDescent="0.25">
      <c r="A41" s="1" t="s">
        <v>924</v>
      </c>
      <c r="B41" s="10">
        <f>(52*25*J41)*I41</f>
        <v>17771</v>
      </c>
      <c r="C41" s="10">
        <f t="shared" si="3"/>
        <v>1359.4814999999999</v>
      </c>
      <c r="D41" s="10">
        <f t="shared" si="4"/>
        <v>3554.2000000000003</v>
      </c>
      <c r="E41" s="10" cm="1">
        <f t="array" ref="E41">SUM(($C$2:$C$3)+(B41*$B$4))*I41</f>
        <v>11608.855</v>
      </c>
      <c r="F41" s="10">
        <f t="shared" si="5"/>
        <v>467.37729999999999</v>
      </c>
      <c r="G41" s="10">
        <f>$C$5</f>
        <v>33</v>
      </c>
      <c r="H41" s="1" t="s">
        <v>925</v>
      </c>
      <c r="I41" s="10">
        <v>0.5</v>
      </c>
      <c r="J41" s="10">
        <v>27.34</v>
      </c>
    </row>
    <row r="42" spans="1:11" x14ac:dyDescent="0.25">
      <c r="A42" s="1" t="s">
        <v>926</v>
      </c>
      <c r="B42" s="10">
        <f>(52*16*J42)*I42</f>
        <v>10112.959999999999</v>
      </c>
      <c r="C42" s="10">
        <f t="shared" si="3"/>
        <v>773.64143999999987</v>
      </c>
      <c r="D42" s="10">
        <f t="shared" si="4"/>
        <v>2022.5919999999999</v>
      </c>
      <c r="E42" s="10" cm="1">
        <f t="array" ref="E42">SUM(($C$2:$C$3)+(B42*$B$4))*I42</f>
        <v>11570.5648</v>
      </c>
      <c r="F42" s="10">
        <f t="shared" si="5"/>
        <v>265.97084799999999</v>
      </c>
      <c r="G42" s="10">
        <f>$C$5</f>
        <v>33</v>
      </c>
      <c r="H42" s="1" t="s">
        <v>1161</v>
      </c>
      <c r="I42" s="10">
        <v>0.5</v>
      </c>
      <c r="J42" s="10">
        <v>24.31</v>
      </c>
    </row>
    <row r="43" spans="1:11" x14ac:dyDescent="0.25">
      <c r="A43" s="1" t="s">
        <v>1169</v>
      </c>
      <c r="B43" s="10">
        <f>(2080*J43)*I43/2</f>
        <v>51521.599999999999</v>
      </c>
      <c r="C43" s="10">
        <f t="shared" si="3"/>
        <v>3941.4023999999999</v>
      </c>
      <c r="D43" s="10">
        <f t="shared" si="4"/>
        <v>10304.32</v>
      </c>
      <c r="E43" s="10">
        <v>0</v>
      </c>
      <c r="F43" s="10">
        <f t="shared" si="5"/>
        <v>1355.0180800000001</v>
      </c>
      <c r="G43" s="10">
        <f>$C$5*2</f>
        <v>66</v>
      </c>
      <c r="I43" s="10">
        <v>2</v>
      </c>
      <c r="J43" s="10">
        <v>24.77</v>
      </c>
    </row>
    <row r="44" spans="1:11" x14ac:dyDescent="0.25">
      <c r="A44" s="1" t="s">
        <v>1170</v>
      </c>
      <c r="B44" s="10">
        <f>(2080*J44)*I44/2</f>
        <v>51521.599999999999</v>
      </c>
      <c r="C44" s="10">
        <f t="shared" si="3"/>
        <v>3941.4023999999999</v>
      </c>
      <c r="D44" s="10">
        <f t="shared" si="4"/>
        <v>10304.32</v>
      </c>
      <c r="E44" s="10">
        <v>0</v>
      </c>
      <c r="F44" s="10">
        <f t="shared" si="5"/>
        <v>1355.0180800000001</v>
      </c>
      <c r="G44" s="10">
        <f>$C$5*2</f>
        <v>66</v>
      </c>
      <c r="H44" s="1" t="s">
        <v>1162</v>
      </c>
      <c r="I44" s="10">
        <v>2</v>
      </c>
      <c r="J44" s="10">
        <v>24.77</v>
      </c>
    </row>
    <row r="45" spans="1:11" x14ac:dyDescent="0.25">
      <c r="A45" s="1" t="s">
        <v>911</v>
      </c>
      <c r="B45" s="10">
        <f>J45*I45</f>
        <v>20000</v>
      </c>
      <c r="C45" s="10">
        <f t="shared" si="3"/>
        <v>1530</v>
      </c>
      <c r="D45" s="10">
        <f t="shared" si="4"/>
        <v>4000</v>
      </c>
      <c r="E45" s="10" cm="1">
        <f t="array" ref="E45">SUM(($C$2:$C$3)+(B45*$B$4))*I45</f>
        <v>7746.6666666666661</v>
      </c>
      <c r="F45" s="10">
        <f t="shared" si="5"/>
        <v>526</v>
      </c>
      <c r="G45" s="10">
        <f>$C$5</f>
        <v>33</v>
      </c>
      <c r="I45" s="10">
        <f>1/3</f>
        <v>0.33333333333333331</v>
      </c>
      <c r="J45" s="10">
        <f>60000</f>
        <v>60000</v>
      </c>
    </row>
    <row r="46" spans="1:11" x14ac:dyDescent="0.25">
      <c r="A46" s="1" t="s">
        <v>913</v>
      </c>
      <c r="B46" s="10">
        <f>J46*I46</f>
        <v>8000</v>
      </c>
      <c r="C46" s="10">
        <f t="shared" si="3"/>
        <v>612</v>
      </c>
      <c r="D46" s="10">
        <v>0</v>
      </c>
      <c r="E46" s="10">
        <v>0</v>
      </c>
      <c r="F46" s="10">
        <f t="shared" si="5"/>
        <v>210.4</v>
      </c>
      <c r="G46" s="10">
        <f>$C$5</f>
        <v>33</v>
      </c>
      <c r="I46" s="10">
        <f>1/3</f>
        <v>0.33333333333333331</v>
      </c>
      <c r="J46" s="10">
        <f>24000</f>
        <v>24000</v>
      </c>
    </row>
    <row r="47" spans="1:11" x14ac:dyDescent="0.25">
      <c r="B47" s="10"/>
      <c r="C47" s="10">
        <f t="shared" si="3"/>
        <v>0</v>
      </c>
      <c r="D47" s="10"/>
      <c r="E47" s="10"/>
      <c r="F47" s="10"/>
      <c r="G47" s="10"/>
      <c r="I47" s="10"/>
    </row>
    <row r="48" spans="1:11" ht="21" customHeight="1" thickBot="1" x14ac:dyDescent="0.3">
      <c r="A48" s="40" t="s">
        <v>931</v>
      </c>
      <c r="B48" s="43">
        <f t="shared" ref="B48:G48" si="6">SUM(B40:B47)</f>
        <v>219847.315</v>
      </c>
      <c r="C48" s="43">
        <f t="shared" si="6"/>
        <v>16818.319597499998</v>
      </c>
      <c r="D48" s="43">
        <f t="shared" si="6"/>
        <v>42369.463000000003</v>
      </c>
      <c r="E48" s="43">
        <f t="shared" si="6"/>
        <v>42750.687241666667</v>
      </c>
      <c r="F48" s="43">
        <f t="shared" si="6"/>
        <v>5781.9843844999996</v>
      </c>
      <c r="G48" s="43">
        <f t="shared" si="6"/>
        <v>297</v>
      </c>
      <c r="H48" s="43">
        <f>SUM(B48:G48)</f>
        <v>327864.76922366669</v>
      </c>
    </row>
    <row r="49" spans="1:10" ht="15.75" thickTop="1" x14ac:dyDescent="0.25">
      <c r="B49" s="10"/>
      <c r="C49" s="10"/>
      <c r="D49" s="10"/>
      <c r="E49" s="10"/>
      <c r="F49" s="10"/>
      <c r="G49" s="10"/>
    </row>
    <row r="50" spans="1:10" x14ac:dyDescent="0.25">
      <c r="B50" s="10"/>
      <c r="C50" s="10"/>
      <c r="D50" s="10"/>
      <c r="E50" s="10"/>
      <c r="F50" s="10"/>
      <c r="G50" s="10"/>
    </row>
    <row r="51" spans="1:10" x14ac:dyDescent="0.25">
      <c r="A51" s="40" t="s">
        <v>898</v>
      </c>
      <c r="B51" s="41" t="s">
        <v>733</v>
      </c>
      <c r="C51" s="41" t="s">
        <v>735</v>
      </c>
      <c r="D51" s="41" t="s">
        <v>736</v>
      </c>
      <c r="E51" s="41" t="s">
        <v>737</v>
      </c>
      <c r="F51" s="41" t="s">
        <v>738</v>
      </c>
      <c r="G51" s="41" t="s">
        <v>740</v>
      </c>
      <c r="I51" s="6" t="s">
        <v>1163</v>
      </c>
      <c r="J51" s="6"/>
    </row>
    <row r="52" spans="1:10" x14ac:dyDescent="0.25">
      <c r="A52" s="7" t="s">
        <v>932</v>
      </c>
      <c r="B52" s="5" t="s">
        <v>900</v>
      </c>
      <c r="C52" s="5" t="s">
        <v>901</v>
      </c>
      <c r="D52" s="5" t="s">
        <v>106</v>
      </c>
      <c r="E52" s="5" t="s">
        <v>902</v>
      </c>
      <c r="F52" s="5" t="s">
        <v>903</v>
      </c>
      <c r="G52" s="5" t="s">
        <v>114</v>
      </c>
      <c r="H52" s="5" t="s">
        <v>904</v>
      </c>
      <c r="I52" s="5" t="s">
        <v>1168</v>
      </c>
      <c r="J52" s="5" t="s">
        <v>906</v>
      </c>
    </row>
    <row r="53" spans="1:10" x14ac:dyDescent="0.25">
      <c r="A53" s="1" t="s">
        <v>923</v>
      </c>
      <c r="B53" s="10">
        <f>J53*I53</f>
        <v>60920.154999999999</v>
      </c>
      <c r="C53" s="10">
        <f t="shared" ref="C53:C60" si="7">B53*$B$8</f>
        <v>4660.3918574999998</v>
      </c>
      <c r="D53" s="10">
        <f>(B53*$B$7)</f>
        <v>12184.031000000001</v>
      </c>
      <c r="E53" s="10" cm="1">
        <f t="array" ref="E53">SUM(($C$2:$C$3)+(B53*$B$4))*I53</f>
        <v>11824.600774999999</v>
      </c>
      <c r="F53" s="10">
        <f t="shared" ref="F53:F59" si="8">B53*$B$6</f>
        <v>1602.2000765</v>
      </c>
      <c r="G53" s="10">
        <f>$C$5</f>
        <v>33</v>
      </c>
      <c r="I53" s="10">
        <v>0.5</v>
      </c>
      <c r="J53" s="10">
        <v>121840.31</v>
      </c>
    </row>
    <row r="54" spans="1:10" x14ac:dyDescent="0.25">
      <c r="A54" s="1" t="s">
        <v>924</v>
      </c>
      <c r="B54" s="10">
        <f>(52*25*J54)*I54</f>
        <v>17771</v>
      </c>
      <c r="C54" s="10">
        <f t="shared" si="7"/>
        <v>1359.4814999999999</v>
      </c>
      <c r="D54" s="10">
        <f>(B54*$B$7)</f>
        <v>3554.2000000000003</v>
      </c>
      <c r="E54" s="10" cm="1">
        <f t="array" ref="E54">SUM(($C$2:$C$3)+(B54*$B$4))*I54</f>
        <v>11608.855</v>
      </c>
      <c r="F54" s="10">
        <f t="shared" si="8"/>
        <v>467.37729999999999</v>
      </c>
      <c r="G54" s="10">
        <f>$C$5</f>
        <v>33</v>
      </c>
      <c r="H54" s="1" t="s">
        <v>925</v>
      </c>
      <c r="I54" s="10">
        <v>0.5</v>
      </c>
      <c r="J54" s="10">
        <v>27.34</v>
      </c>
    </row>
    <row r="55" spans="1:10" x14ac:dyDescent="0.25">
      <c r="A55" s="1" t="s">
        <v>926</v>
      </c>
      <c r="B55" s="10">
        <f>(52*16*J55)*I55</f>
        <v>10112.959999999999</v>
      </c>
      <c r="C55" s="10">
        <f t="shared" si="7"/>
        <v>773.64143999999987</v>
      </c>
      <c r="D55" s="10">
        <f>(B55*$B$7)</f>
        <v>2022.5919999999999</v>
      </c>
      <c r="E55" s="10" cm="1">
        <f t="array" ref="E55">SUM(($C$2:$C$3)+(B55*$B$4))*I55</f>
        <v>11570.5648</v>
      </c>
      <c r="F55" s="10">
        <f t="shared" si="8"/>
        <v>265.97084799999999</v>
      </c>
      <c r="G55" s="10">
        <f>$C$5</f>
        <v>33</v>
      </c>
      <c r="H55" s="1" t="s">
        <v>1161</v>
      </c>
      <c r="I55" s="10">
        <v>0.5</v>
      </c>
      <c r="J55" s="10">
        <v>24.31</v>
      </c>
    </row>
    <row r="56" spans="1:10" x14ac:dyDescent="0.25">
      <c r="A56" s="1" t="s">
        <v>1169</v>
      </c>
      <c r="B56" s="10">
        <f>(2080*J56)*I56/2</f>
        <v>51521.599999999999</v>
      </c>
      <c r="C56" s="10">
        <f t="shared" si="7"/>
        <v>3941.4023999999999</v>
      </c>
      <c r="D56" s="10">
        <v>0</v>
      </c>
      <c r="E56" s="10">
        <v>0</v>
      </c>
      <c r="F56" s="10">
        <f t="shared" si="8"/>
        <v>1355.0180800000001</v>
      </c>
      <c r="G56" s="10">
        <v>0</v>
      </c>
      <c r="I56" s="10">
        <v>2</v>
      </c>
      <c r="J56" s="10">
        <v>24.77</v>
      </c>
    </row>
    <row r="57" spans="1:10" x14ac:dyDescent="0.25">
      <c r="A57" s="1" t="s">
        <v>1170</v>
      </c>
      <c r="B57" s="10">
        <f>(2080*J57)*I57/2</f>
        <v>51521.599999999999</v>
      </c>
      <c r="C57" s="10">
        <f t="shared" si="7"/>
        <v>3941.4023999999999</v>
      </c>
      <c r="D57" s="10">
        <v>0</v>
      </c>
      <c r="E57" s="10">
        <v>0</v>
      </c>
      <c r="F57" s="10">
        <f t="shared" si="8"/>
        <v>1355.0180800000001</v>
      </c>
      <c r="G57" s="10">
        <v>0</v>
      </c>
      <c r="I57" s="10">
        <v>2</v>
      </c>
      <c r="J57" s="10">
        <v>24.77</v>
      </c>
    </row>
    <row r="58" spans="1:10" x14ac:dyDescent="0.25">
      <c r="A58" s="1" t="s">
        <v>911</v>
      </c>
      <c r="B58" s="10">
        <f>J58*I58</f>
        <v>20000</v>
      </c>
      <c r="C58" s="10">
        <f t="shared" si="7"/>
        <v>1530</v>
      </c>
      <c r="D58" s="10">
        <f>(B58*$B$7)</f>
        <v>4000</v>
      </c>
      <c r="E58" s="10" cm="1">
        <f t="array" ref="E58">SUM(($C$2:$C$3)+(B58*$B$4))*I58</f>
        <v>7746.6666666666661</v>
      </c>
      <c r="F58" s="10">
        <f t="shared" si="8"/>
        <v>526</v>
      </c>
      <c r="G58" s="10">
        <v>0</v>
      </c>
      <c r="I58" s="10">
        <f>1/3</f>
        <v>0.33333333333333331</v>
      </c>
      <c r="J58" s="10">
        <f>60000</f>
        <v>60000</v>
      </c>
    </row>
    <row r="59" spans="1:10" x14ac:dyDescent="0.25">
      <c r="A59" s="1" t="s">
        <v>913</v>
      </c>
      <c r="B59" s="10">
        <f>J59*I59</f>
        <v>8000</v>
      </c>
      <c r="C59" s="10">
        <f t="shared" si="7"/>
        <v>612</v>
      </c>
      <c r="D59" s="10">
        <v>0</v>
      </c>
      <c r="E59" s="10">
        <v>0</v>
      </c>
      <c r="F59" s="10">
        <f t="shared" si="8"/>
        <v>210.4</v>
      </c>
      <c r="G59" s="10">
        <v>0</v>
      </c>
      <c r="I59" s="10">
        <f>1/3</f>
        <v>0.33333333333333331</v>
      </c>
      <c r="J59" s="10">
        <f>24000</f>
        <v>24000</v>
      </c>
    </row>
    <row r="60" spans="1:10" x14ac:dyDescent="0.25">
      <c r="B60" s="10"/>
      <c r="C60" s="10">
        <f t="shared" si="7"/>
        <v>0</v>
      </c>
      <c r="D60" s="10"/>
      <c r="E60" s="10"/>
      <c r="F60" s="10"/>
      <c r="G60" s="10"/>
      <c r="I60" s="10"/>
      <c r="J60" s="46"/>
    </row>
    <row r="61" spans="1:10" ht="21" customHeight="1" thickBot="1" x14ac:dyDescent="0.3">
      <c r="A61" s="40" t="s">
        <v>934</v>
      </c>
      <c r="B61" s="43">
        <f t="shared" ref="B61:G61" si="9">SUM(B53:B60)</f>
        <v>219847.315</v>
      </c>
      <c r="C61" s="43">
        <f t="shared" si="9"/>
        <v>16818.319597499998</v>
      </c>
      <c r="D61" s="43">
        <f t="shared" si="9"/>
        <v>21760.823</v>
      </c>
      <c r="E61" s="43">
        <f t="shared" si="9"/>
        <v>42750.687241666667</v>
      </c>
      <c r="F61" s="43">
        <f t="shared" si="9"/>
        <v>5781.9843844999996</v>
      </c>
      <c r="G61" s="43">
        <f t="shared" si="9"/>
        <v>99</v>
      </c>
      <c r="H61" s="43">
        <f>SUM(B61:G61)</f>
        <v>307058.12922366668</v>
      </c>
    </row>
    <row r="62" spans="1:10" ht="15.75" thickTop="1" x14ac:dyDescent="0.25">
      <c r="B62" s="10"/>
      <c r="C62" s="10"/>
      <c r="D62" s="10"/>
      <c r="E62" s="10"/>
      <c r="F62" s="10"/>
      <c r="G62" s="10"/>
    </row>
    <row r="63" spans="1:10" x14ac:dyDescent="0.25">
      <c r="B63" s="10"/>
      <c r="C63" s="10"/>
      <c r="D63" s="10"/>
      <c r="E63" s="10"/>
      <c r="F63" s="10"/>
      <c r="G63" s="10"/>
    </row>
    <row r="64" spans="1:10" x14ac:dyDescent="0.25">
      <c r="B64" s="10"/>
      <c r="C64" s="10"/>
      <c r="D64" s="10"/>
      <c r="E64" s="10"/>
      <c r="F64" s="10"/>
      <c r="G64" s="10"/>
    </row>
    <row r="65" spans="2:7" x14ac:dyDescent="0.25">
      <c r="B65" s="10"/>
      <c r="C65" s="10"/>
      <c r="D65" s="10"/>
      <c r="E65" s="10"/>
      <c r="F65" s="10"/>
      <c r="G65" s="10"/>
    </row>
  </sheetData>
  <pageMargins left="0.7" right="0.7" top="0.75" bottom="0.75" header="0.3" footer="0.3"/>
  <pageSetup scale="72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9"/>
  <sheetViews>
    <sheetView zoomScale="85" zoomScaleNormal="85" workbookViewId="0">
      <pane xSplit="1" ySplit="4" topLeftCell="B5" activePane="bottomRight" state="frozen"/>
      <selection pane="topRight" sqref="A1:XFD1048576"/>
      <selection pane="bottomLeft" sqref="A1:XFD1048576"/>
      <selection pane="bottomRight" sqref="A1:XFD1048576"/>
    </sheetView>
  </sheetViews>
  <sheetFormatPr defaultRowHeight="15" x14ac:dyDescent="0.25"/>
  <cols>
    <col min="1" max="1" width="25.42578125" style="1" customWidth="1"/>
    <col min="2" max="2" width="11" style="1" bestFit="1" customWidth="1"/>
    <col min="3" max="6" width="15.5703125" style="1" customWidth="1"/>
    <col min="7" max="16384" width="9.140625" style="1"/>
  </cols>
  <sheetData>
    <row r="1" spans="1:6" x14ac:dyDescent="0.25">
      <c r="A1" s="1" t="s">
        <v>825</v>
      </c>
    </row>
    <row r="2" spans="1:6" x14ac:dyDescent="0.25">
      <c r="A2" s="1" t="s">
        <v>953</v>
      </c>
    </row>
    <row r="4" spans="1:6" x14ac:dyDescent="0.25">
      <c r="A4" s="4" t="s">
        <v>954</v>
      </c>
      <c r="B4" s="5" t="s">
        <v>44</v>
      </c>
      <c r="C4" s="5" t="s">
        <v>955</v>
      </c>
      <c r="D4" s="5" t="s">
        <v>956</v>
      </c>
      <c r="E4" s="5" t="s">
        <v>958</v>
      </c>
    </row>
    <row r="5" spans="1:6" x14ac:dyDescent="0.25">
      <c r="B5" s="6"/>
      <c r="C5" s="6"/>
      <c r="D5" s="6"/>
      <c r="E5" s="6"/>
    </row>
    <row r="6" spans="1:6" x14ac:dyDescent="0.25">
      <c r="A6" s="7" t="s">
        <v>32</v>
      </c>
    </row>
    <row r="7" spans="1:6" x14ac:dyDescent="0.25">
      <c r="A7" s="9" t="s">
        <v>980</v>
      </c>
      <c r="B7" s="10"/>
      <c r="C7" s="33">
        <v>0</v>
      </c>
      <c r="D7" s="33">
        <v>295000</v>
      </c>
      <c r="E7" s="33"/>
      <c r="F7" s="10"/>
    </row>
    <row r="8" spans="1:6" x14ac:dyDescent="0.25">
      <c r="A8" s="9" t="s">
        <v>968</v>
      </c>
      <c r="B8" s="10"/>
      <c r="C8" s="10">
        <v>0</v>
      </c>
      <c r="D8" s="10">
        <v>0</v>
      </c>
      <c r="E8" s="10"/>
      <c r="F8" s="10"/>
    </row>
    <row r="9" spans="1:6" x14ac:dyDescent="0.25">
      <c r="A9" s="9" t="s">
        <v>974</v>
      </c>
      <c r="B9" s="10"/>
      <c r="C9" s="10">
        <v>0</v>
      </c>
      <c r="D9" s="10">
        <v>70000</v>
      </c>
      <c r="E9" s="10"/>
      <c r="F9" s="10"/>
    </row>
    <row r="10" spans="1:6" x14ac:dyDescent="0.25">
      <c r="A10" s="9"/>
      <c r="B10" s="10"/>
      <c r="C10" s="10"/>
      <c r="D10" s="10"/>
      <c r="E10" s="10"/>
      <c r="F10" s="10"/>
    </row>
    <row r="11" spans="1:6" x14ac:dyDescent="0.25">
      <c r="A11" s="9"/>
      <c r="B11" s="10"/>
      <c r="C11" s="10"/>
      <c r="D11" s="10"/>
      <c r="E11" s="10"/>
      <c r="F11" s="10"/>
    </row>
    <row r="12" spans="1:6" ht="15.75" thickBot="1" x14ac:dyDescent="0.3">
      <c r="A12" s="9" t="s">
        <v>978</v>
      </c>
      <c r="B12" s="3" t="s">
        <v>343</v>
      </c>
      <c r="C12" s="34">
        <f>SUM(C7:C11)</f>
        <v>0</v>
      </c>
      <c r="D12" s="34">
        <f>SUM(D7:D11)</f>
        <v>365000</v>
      </c>
      <c r="E12" s="34"/>
      <c r="F12" s="10"/>
    </row>
    <row r="13" spans="1:6" ht="15.75" thickTop="1" x14ac:dyDescent="0.25">
      <c r="A13" s="18"/>
      <c r="B13" s="10"/>
      <c r="C13" s="35"/>
      <c r="D13" s="35"/>
      <c r="E13" s="35"/>
      <c r="F13" s="10"/>
    </row>
    <row r="14" spans="1:6" x14ac:dyDescent="0.25">
      <c r="B14" s="10"/>
      <c r="C14" s="10"/>
      <c r="D14" s="10"/>
      <c r="E14" s="10"/>
      <c r="F14" s="10"/>
    </row>
    <row r="15" spans="1:6" x14ac:dyDescent="0.25">
      <c r="A15" s="7" t="s">
        <v>979</v>
      </c>
      <c r="B15" s="10"/>
      <c r="F15" s="10"/>
    </row>
    <row r="16" spans="1:6" x14ac:dyDescent="0.25">
      <c r="A16" s="9" t="s">
        <v>980</v>
      </c>
      <c r="B16" s="10"/>
      <c r="C16" s="33">
        <v>0</v>
      </c>
      <c r="D16" s="33">
        <v>0</v>
      </c>
      <c r="E16" s="33"/>
      <c r="F16" s="10"/>
    </row>
    <row r="17" spans="1:6" x14ac:dyDescent="0.25">
      <c r="A17" s="9"/>
      <c r="B17" s="10"/>
      <c r="C17" s="10"/>
      <c r="D17" s="10"/>
      <c r="E17" s="10"/>
      <c r="F17" s="10"/>
    </row>
    <row r="18" spans="1:6" x14ac:dyDescent="0.25">
      <c r="A18" s="9"/>
      <c r="B18" s="10"/>
      <c r="C18" s="10"/>
      <c r="D18" s="10"/>
      <c r="E18" s="10"/>
      <c r="F18" s="10"/>
    </row>
    <row r="19" spans="1:6" x14ac:dyDescent="0.25">
      <c r="A19" s="9"/>
      <c r="B19" s="10"/>
      <c r="C19" s="10"/>
      <c r="D19" s="10"/>
      <c r="E19" s="10"/>
      <c r="F19" s="10"/>
    </row>
    <row r="20" spans="1:6" x14ac:dyDescent="0.25">
      <c r="A20" s="9"/>
      <c r="B20" s="10"/>
      <c r="C20" s="10"/>
      <c r="D20" s="10"/>
      <c r="E20" s="10"/>
      <c r="F20" s="10"/>
    </row>
    <row r="21" spans="1:6" ht="15.75" thickBot="1" x14ac:dyDescent="0.3">
      <c r="A21" s="9" t="s">
        <v>978</v>
      </c>
      <c r="B21" s="3" t="s">
        <v>440</v>
      </c>
      <c r="C21" s="34">
        <f>SUM(C16:C20)</f>
        <v>0</v>
      </c>
      <c r="D21" s="34">
        <f>SUM(D16:D20)</f>
        <v>0</v>
      </c>
      <c r="E21" s="34"/>
      <c r="F21" s="10"/>
    </row>
    <row r="22" spans="1:6" ht="15.75" thickTop="1" x14ac:dyDescent="0.25">
      <c r="A22" s="18"/>
      <c r="B22" s="10"/>
      <c r="C22" s="35"/>
      <c r="D22" s="35"/>
      <c r="E22" s="35"/>
      <c r="F22" s="10"/>
    </row>
    <row r="23" spans="1:6" x14ac:dyDescent="0.25">
      <c r="B23" s="10"/>
      <c r="C23" s="10"/>
      <c r="D23" s="10"/>
      <c r="E23" s="10"/>
      <c r="F23" s="10"/>
    </row>
    <row r="24" spans="1:6" x14ac:dyDescent="0.25">
      <c r="A24" s="7" t="s">
        <v>33</v>
      </c>
      <c r="B24" s="10"/>
      <c r="F24" s="10"/>
    </row>
    <row r="25" spans="1:6" x14ac:dyDescent="0.25">
      <c r="A25" s="9" t="s">
        <v>988</v>
      </c>
      <c r="B25" s="10"/>
      <c r="C25" s="33">
        <v>0</v>
      </c>
      <c r="D25" s="33">
        <v>100000</v>
      </c>
      <c r="E25" s="33">
        <v>50000</v>
      </c>
      <c r="F25" s="10">
        <v>25000</v>
      </c>
    </row>
    <row r="26" spans="1:6" x14ac:dyDescent="0.25">
      <c r="A26" s="9" t="s">
        <v>1171</v>
      </c>
      <c r="B26" s="10"/>
      <c r="C26" s="10"/>
      <c r="D26" s="10">
        <v>50000</v>
      </c>
      <c r="E26" s="10"/>
      <c r="F26" s="10"/>
    </row>
    <row r="27" spans="1:6" x14ac:dyDescent="0.25">
      <c r="A27" s="9" t="s">
        <v>991</v>
      </c>
      <c r="B27" s="10"/>
      <c r="C27" s="10">
        <v>55000</v>
      </c>
      <c r="D27" s="10">
        <v>0</v>
      </c>
      <c r="E27" s="10"/>
      <c r="F27" s="10"/>
    </row>
    <row r="28" spans="1:6" x14ac:dyDescent="0.25">
      <c r="A28" s="9" t="s">
        <v>993</v>
      </c>
      <c r="B28" s="10"/>
      <c r="C28" s="10">
        <v>1000000</v>
      </c>
      <c r="D28" s="10"/>
      <c r="E28" s="10"/>
      <c r="F28" s="10"/>
    </row>
    <row r="29" spans="1:6" ht="15.75" thickBot="1" x14ac:dyDescent="0.3">
      <c r="A29" s="9" t="s">
        <v>978</v>
      </c>
      <c r="B29" s="10" t="s">
        <v>672</v>
      </c>
      <c r="C29" s="34">
        <f>SUM(C25:C28)</f>
        <v>1055000</v>
      </c>
      <c r="D29" s="34">
        <f>SUM(D25:D28)</f>
        <v>150000</v>
      </c>
      <c r="E29" s="34"/>
      <c r="F29" s="10"/>
    </row>
    <row r="30" spans="1:6" ht="15.75" thickTop="1" x14ac:dyDescent="0.25">
      <c r="A30" s="18"/>
      <c r="B30" s="10"/>
      <c r="C30" s="35"/>
      <c r="D30" s="35"/>
      <c r="E30" s="35"/>
      <c r="F30" s="10"/>
    </row>
    <row r="31" spans="1:6" x14ac:dyDescent="0.25">
      <c r="B31" s="10"/>
      <c r="C31" s="10"/>
      <c r="D31" s="10"/>
      <c r="E31" s="10"/>
      <c r="F31" s="10"/>
    </row>
    <row r="32" spans="1:6" x14ac:dyDescent="0.25">
      <c r="A32" s="7" t="s">
        <v>34</v>
      </c>
      <c r="B32" s="10"/>
      <c r="F32" s="10"/>
    </row>
    <row r="33" spans="1:6" x14ac:dyDescent="0.25">
      <c r="A33" s="9" t="s">
        <v>1015</v>
      </c>
      <c r="B33" s="10"/>
      <c r="C33" s="33"/>
      <c r="D33" s="33">
        <v>0</v>
      </c>
      <c r="E33" s="33"/>
      <c r="F33" s="10"/>
    </row>
    <row r="34" spans="1:6" x14ac:dyDescent="0.25">
      <c r="A34" s="9" t="s">
        <v>1172</v>
      </c>
      <c r="B34" s="10"/>
      <c r="C34" s="10">
        <f>164000+70000</f>
        <v>234000</v>
      </c>
      <c r="D34" s="10">
        <f>4000000-C34</f>
        <v>3766000</v>
      </c>
      <c r="E34" s="10"/>
      <c r="F34" s="10" t="s">
        <v>1173</v>
      </c>
    </row>
    <row r="35" spans="1:6" x14ac:dyDescent="0.25">
      <c r="A35" s="9"/>
      <c r="B35" s="10"/>
      <c r="C35" s="10"/>
      <c r="D35" s="10"/>
      <c r="E35" s="10"/>
      <c r="F35" s="10"/>
    </row>
    <row r="36" spans="1:6" x14ac:dyDescent="0.25">
      <c r="A36" s="9"/>
      <c r="B36" s="10"/>
      <c r="C36" s="10"/>
      <c r="D36" s="10"/>
      <c r="E36" s="10"/>
      <c r="F36" s="10"/>
    </row>
    <row r="37" spans="1:6" ht="15.75" thickBot="1" x14ac:dyDescent="0.3">
      <c r="A37" s="9" t="s">
        <v>978</v>
      </c>
      <c r="B37" s="10" t="s">
        <v>788</v>
      </c>
      <c r="C37" s="34">
        <f>SUM(C33:C36)</f>
        <v>234000</v>
      </c>
      <c r="D37" s="34">
        <f>SUM(D33:D36)</f>
        <v>3766000</v>
      </c>
      <c r="E37" s="34"/>
      <c r="F37" s="10"/>
    </row>
    <row r="38" spans="1:6" ht="15.75" thickTop="1" x14ac:dyDescent="0.25">
      <c r="A38" s="18"/>
      <c r="B38" s="10"/>
      <c r="C38" s="35"/>
      <c r="D38" s="35"/>
      <c r="E38" s="35"/>
      <c r="F38" s="10"/>
    </row>
    <row r="39" spans="1:6" x14ac:dyDescent="0.25">
      <c r="B39" s="10"/>
      <c r="C39" s="10"/>
      <c r="D39" s="10"/>
      <c r="E39" s="10"/>
      <c r="F39" s="10"/>
    </row>
    <row r="40" spans="1:6" x14ac:dyDescent="0.25">
      <c r="A40" s="7" t="s">
        <v>40</v>
      </c>
      <c r="B40" s="10"/>
      <c r="F40" s="10"/>
    </row>
    <row r="41" spans="1:6" x14ac:dyDescent="0.25">
      <c r="A41" s="9" t="s">
        <v>1021</v>
      </c>
      <c r="B41" s="10"/>
      <c r="C41" s="33">
        <v>0</v>
      </c>
      <c r="D41" s="33">
        <v>0</v>
      </c>
      <c r="E41" s="33"/>
      <c r="F41" s="10"/>
    </row>
    <row r="42" spans="1:6" x14ac:dyDescent="0.25">
      <c r="A42" s="9"/>
      <c r="B42" s="10"/>
      <c r="C42" s="33"/>
      <c r="D42" s="33"/>
      <c r="E42" s="33"/>
      <c r="F42" s="10"/>
    </row>
    <row r="43" spans="1:6" x14ac:dyDescent="0.25">
      <c r="A43" s="9"/>
      <c r="B43" s="10"/>
      <c r="C43" s="10"/>
      <c r="D43" s="10"/>
      <c r="E43" s="10"/>
      <c r="F43" s="10"/>
    </row>
    <row r="44" spans="1:6" ht="15.75" thickBot="1" x14ac:dyDescent="0.3">
      <c r="A44" s="9" t="s">
        <v>978</v>
      </c>
      <c r="B44" s="10" t="s">
        <v>811</v>
      </c>
      <c r="C44" s="34">
        <f>SUM(C41:C43)</f>
        <v>0</v>
      </c>
      <c r="D44" s="34">
        <f>SUM(D41:D43)</f>
        <v>0</v>
      </c>
      <c r="E44" s="34"/>
      <c r="F44" s="10"/>
    </row>
    <row r="45" spans="1:6" ht="15.75" thickTop="1" x14ac:dyDescent="0.25">
      <c r="B45" s="10"/>
      <c r="C45" s="10"/>
      <c r="D45" s="10"/>
      <c r="E45" s="10"/>
      <c r="F45" s="10"/>
    </row>
    <row r="46" spans="1:6" x14ac:dyDescent="0.25">
      <c r="B46" s="10"/>
      <c r="C46" s="10"/>
      <c r="D46" s="10"/>
      <c r="E46" s="10"/>
      <c r="F46" s="10"/>
    </row>
    <row r="47" spans="1:6" x14ac:dyDescent="0.25">
      <c r="A47" s="1" t="s">
        <v>1022</v>
      </c>
      <c r="B47" s="10"/>
      <c r="C47" s="10">
        <f>SUM(-C44,C37,C29,C21,C12)</f>
        <v>1289000</v>
      </c>
      <c r="D47" s="10">
        <f>SUM(-D44,D37,D29,D21,D12)</f>
        <v>4281000</v>
      </c>
      <c r="E47" s="10">
        <f>SUM(-E44,E37,E29,E21,E12)</f>
        <v>0</v>
      </c>
      <c r="F47" s="10"/>
    </row>
    <row r="49" spans="4:4" x14ac:dyDescent="0.25">
      <c r="D49" s="1">
        <v>4281000</v>
      </c>
    </row>
  </sheetData>
  <pageMargins left="0.7" right="0.7" top="0.75" bottom="0.75" header="0.3" footer="0.3"/>
  <pageSetup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23</vt:i4>
      </vt:variant>
    </vt:vector>
  </HeadingPairs>
  <TitlesOfParts>
    <vt:vector size="50" baseType="lpstr">
      <vt:lpstr>Budget Summary</vt:lpstr>
      <vt:lpstr>27 Proposed Budget by Dept</vt:lpstr>
      <vt:lpstr>Budget State 27 Proposed</vt:lpstr>
      <vt:lpstr>26 Amended Budget by Dept</vt:lpstr>
      <vt:lpstr>Budget State 26 Amended</vt:lpstr>
      <vt:lpstr>COA</vt:lpstr>
      <vt:lpstr>Data (TB)</vt:lpstr>
      <vt:lpstr>Budget Data from FS</vt:lpstr>
      <vt:lpstr>Pivot Summary</vt:lpstr>
      <vt:lpstr>Master Budget</vt:lpstr>
      <vt:lpstr>Budget Worksheet</vt:lpstr>
      <vt:lpstr>Debt Summary</vt:lpstr>
      <vt:lpstr>2027 Salaries and Benefits</vt:lpstr>
      <vt:lpstr>27 Capital Budget</vt:lpstr>
      <vt:lpstr>Dave</vt:lpstr>
      <vt:lpstr>Chris</vt:lpstr>
      <vt:lpstr>CHRIS NEW</vt:lpstr>
      <vt:lpstr>2026 Salaries and Benefits</vt:lpstr>
      <vt:lpstr>Grant and Loan Budget</vt:lpstr>
      <vt:lpstr>26 Capital Budget</vt:lpstr>
      <vt:lpstr>25 Capital Budget</vt:lpstr>
      <vt:lpstr>2025 Salaries and Benefits</vt:lpstr>
      <vt:lpstr>24 Capital Budget</vt:lpstr>
      <vt:lpstr>Summary</vt:lpstr>
      <vt:lpstr>2024 Salaries and Benefits</vt:lpstr>
      <vt:lpstr>2023 Salaries and Benefits</vt:lpstr>
      <vt:lpstr>23 Capital Budget</vt:lpstr>
      <vt:lpstr>'2023 Salaries and Benefits'!Print_Area</vt:lpstr>
      <vt:lpstr>'2024 Salaries and Benefits'!Print_Area</vt:lpstr>
      <vt:lpstr>'2025 Salaries and Benefits'!Print_Area</vt:lpstr>
      <vt:lpstr>'2026 Salaries and Benefits'!Print_Area</vt:lpstr>
      <vt:lpstr>'2027 Salaries and Benefits'!Print_Area</vt:lpstr>
      <vt:lpstr>'24 Capital Budget'!Print_Area</vt:lpstr>
      <vt:lpstr>'25 Capital Budget'!Print_Area</vt:lpstr>
      <vt:lpstr>'26 Amended Budget by Dept'!Print_Area</vt:lpstr>
      <vt:lpstr>'26 Capital Budget'!Print_Area</vt:lpstr>
      <vt:lpstr>'27 Capital Budget'!Print_Area</vt:lpstr>
      <vt:lpstr>'27 Proposed Budget by Dept'!Print_Area</vt:lpstr>
      <vt:lpstr>'Budget State 26 Amended'!Print_Area</vt:lpstr>
      <vt:lpstr>'Budget State 27 Proposed'!Print_Area</vt:lpstr>
      <vt:lpstr>'Budget Summary'!Print_Area</vt:lpstr>
      <vt:lpstr>'Master Budget'!Print_Area</vt:lpstr>
      <vt:lpstr>Summary!Print_Area</vt:lpstr>
      <vt:lpstr>'26 Amended Budget by Dept'!Print_Titles</vt:lpstr>
      <vt:lpstr>'27 Proposed Budget by Dept'!Print_Titles</vt:lpstr>
      <vt:lpstr>'Budget State 26 Amended'!Print_Titles</vt:lpstr>
      <vt:lpstr>'Budget State 27 Proposed'!Print_Titles</vt:lpstr>
      <vt:lpstr>'Budget Summary'!Print_Titles</vt:lpstr>
      <vt:lpstr>'Budget Worksheet'!Print_Titles</vt:lpstr>
      <vt:lpstr>'Master Budget'!Print_Titles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 Martin</dc:creator>
  <cp:keywords/>
  <dc:description/>
  <cp:lastModifiedBy>Joe Martin</cp:lastModifiedBy>
  <cp:revision/>
  <cp:lastPrinted>2026-10-09T00:54:59Z</cp:lastPrinted>
  <dcterms:created xsi:type="dcterms:W3CDTF">2022-09-14T02:56:26Z</dcterms:created>
  <dcterms:modified xsi:type="dcterms:W3CDTF">2026-10-09T02:30:04Z</dcterms:modified>
  <cp:category/>
  <cp:contentStatus/>
</cp:coreProperties>
</file>