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a911gcc-my.sharepoint.com/personal/tmathieu_uca911_org/Documents/Meetings/Governing Board/2026/06 June/Meeting Docs/"/>
    </mc:Choice>
  </mc:AlternateContent>
  <xr:revisionPtr revIDLastSave="0" documentId="8_{BAE9C476-3BDF-4430-9D9D-E9A19B39C36B}" xr6:coauthVersionLast="47" xr6:coauthVersionMax="47" xr10:uidLastSave="{00000000-0000-0000-0000-000000000000}"/>
  <bookViews>
    <workbookView xWindow="-24990" yWindow="225" windowWidth="21555" windowHeight="20985" xr2:uid="{54CB2496-2308-7F45-86F0-49E2DDFB1C26}"/>
  </bookViews>
  <sheets>
    <sheet name="BudgetvsActu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7" i="1" l="1"/>
  <c r="B193" i="1"/>
  <c r="E193" i="1" s="1"/>
  <c r="C191" i="1"/>
  <c r="E190" i="1"/>
  <c r="D190" i="1"/>
  <c r="E189" i="1"/>
  <c r="D189" i="1"/>
  <c r="E188" i="1"/>
  <c r="D188" i="1"/>
  <c r="C187" i="1"/>
  <c r="C180" i="1"/>
  <c r="C181" i="1" s="1"/>
  <c r="B180" i="1"/>
  <c r="E179" i="1"/>
  <c r="D179" i="1"/>
  <c r="C171" i="1"/>
  <c r="B171" i="1"/>
  <c r="E170" i="1"/>
  <c r="D170" i="1"/>
  <c r="E169" i="1"/>
  <c r="D169" i="1"/>
  <c r="E168" i="1"/>
  <c r="D168" i="1"/>
  <c r="C166" i="1"/>
  <c r="B166" i="1"/>
  <c r="E165" i="1"/>
  <c r="D165" i="1"/>
  <c r="C163" i="1"/>
  <c r="B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C155" i="1"/>
  <c r="B155" i="1"/>
  <c r="D155" i="1" s="1"/>
  <c r="E154" i="1"/>
  <c r="D154" i="1"/>
  <c r="E153" i="1"/>
  <c r="D153" i="1"/>
  <c r="E152" i="1"/>
  <c r="D152" i="1"/>
  <c r="E151" i="1"/>
  <c r="D151" i="1"/>
  <c r="E150" i="1"/>
  <c r="D150" i="1"/>
  <c r="C147" i="1"/>
  <c r="B147" i="1"/>
  <c r="D147" i="1" s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C132" i="1"/>
  <c r="B132" i="1"/>
  <c r="D132" i="1" s="1"/>
  <c r="E131" i="1"/>
  <c r="D131" i="1"/>
  <c r="E130" i="1"/>
  <c r="D130" i="1"/>
  <c r="E129" i="1"/>
  <c r="D129" i="1"/>
  <c r="E126" i="1"/>
  <c r="D126" i="1"/>
  <c r="E125" i="1"/>
  <c r="D125" i="1"/>
  <c r="E124" i="1"/>
  <c r="D124" i="1"/>
  <c r="E123" i="1"/>
  <c r="D123" i="1"/>
  <c r="E122" i="1"/>
  <c r="D122" i="1"/>
  <c r="C121" i="1"/>
  <c r="B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C110" i="1"/>
  <c r="B110" i="1"/>
  <c r="D110" i="1" s="1"/>
  <c r="E109" i="1"/>
  <c r="D109" i="1"/>
  <c r="E108" i="1"/>
  <c r="D108" i="1"/>
  <c r="E107" i="1"/>
  <c r="D107" i="1"/>
  <c r="C105" i="1"/>
  <c r="B105" i="1"/>
  <c r="D105" i="1" s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C91" i="1"/>
  <c r="B91" i="1"/>
  <c r="D91" i="1" s="1"/>
  <c r="E90" i="1"/>
  <c r="D90" i="1"/>
  <c r="C88" i="1"/>
  <c r="B88" i="1"/>
  <c r="E87" i="1"/>
  <c r="D87" i="1"/>
  <c r="E86" i="1"/>
  <c r="D86" i="1"/>
  <c r="E85" i="1"/>
  <c r="D85" i="1"/>
  <c r="E84" i="1"/>
  <c r="D84" i="1"/>
  <c r="E83" i="1"/>
  <c r="D83" i="1"/>
  <c r="E82" i="1"/>
  <c r="D82" i="1"/>
  <c r="C80" i="1"/>
  <c r="B80" i="1"/>
  <c r="E79" i="1"/>
  <c r="D79" i="1"/>
  <c r="C77" i="1"/>
  <c r="B77" i="1"/>
  <c r="D77" i="1" s="1"/>
  <c r="E76" i="1"/>
  <c r="D76" i="1"/>
  <c r="C74" i="1"/>
  <c r="B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C45" i="1"/>
  <c r="B45" i="1"/>
  <c r="E44" i="1"/>
  <c r="D44" i="1"/>
  <c r="E43" i="1"/>
  <c r="D43" i="1"/>
  <c r="E42" i="1"/>
  <c r="D42" i="1"/>
  <c r="C37" i="1"/>
  <c r="B37" i="1"/>
  <c r="D37" i="1" s="1"/>
  <c r="E36" i="1"/>
  <c r="D36" i="1"/>
  <c r="E35" i="1"/>
  <c r="D35" i="1"/>
  <c r="E34" i="1"/>
  <c r="D34" i="1"/>
  <c r="E33" i="1"/>
  <c r="D33" i="1"/>
  <c r="C31" i="1"/>
  <c r="B31" i="1"/>
  <c r="D31" i="1" s="1"/>
  <c r="E30" i="1"/>
  <c r="D30" i="1"/>
  <c r="C28" i="1"/>
  <c r="B28" i="1"/>
  <c r="E27" i="1"/>
  <c r="D27" i="1"/>
  <c r="C25" i="1"/>
  <c r="B25" i="1"/>
  <c r="E24" i="1"/>
  <c r="D24" i="1"/>
  <c r="C22" i="1"/>
  <c r="B22" i="1"/>
  <c r="D22" i="1" s="1"/>
  <c r="E21" i="1"/>
  <c r="D21" i="1"/>
  <c r="E20" i="1"/>
  <c r="D20" i="1"/>
  <c r="C18" i="1"/>
  <c r="B18" i="1"/>
  <c r="E17" i="1"/>
  <c r="D17" i="1"/>
  <c r="E16" i="1"/>
  <c r="D16" i="1"/>
  <c r="E15" i="1"/>
  <c r="D15" i="1"/>
  <c r="E14" i="1"/>
  <c r="D14" i="1"/>
  <c r="C12" i="1"/>
  <c r="B12" i="1"/>
  <c r="E11" i="1"/>
  <c r="D11" i="1"/>
  <c r="E10" i="1"/>
  <c r="D10" i="1"/>
  <c r="E9" i="1"/>
  <c r="D9" i="1"/>
  <c r="C194" i="1" l="1"/>
  <c r="D25" i="1"/>
  <c r="D28" i="1"/>
  <c r="D171" i="1"/>
  <c r="E18" i="1"/>
  <c r="E91" i="1"/>
  <c r="D166" i="1"/>
  <c r="D193" i="1"/>
  <c r="E31" i="1"/>
  <c r="E88" i="1"/>
  <c r="E191" i="1"/>
  <c r="D191" i="1"/>
  <c r="B194" i="1"/>
  <c r="D187" i="1"/>
  <c r="E187" i="1"/>
  <c r="E163" i="1"/>
  <c r="E147" i="1"/>
  <c r="E105" i="1"/>
  <c r="E80" i="1"/>
  <c r="E77" i="1"/>
  <c r="E37" i="1"/>
  <c r="E28" i="1"/>
  <c r="E25" i="1"/>
  <c r="E22" i="1"/>
  <c r="D18" i="1"/>
  <c r="E180" i="1"/>
  <c r="E171" i="1"/>
  <c r="E166" i="1"/>
  <c r="D163" i="1"/>
  <c r="E155" i="1"/>
  <c r="D80" i="1"/>
  <c r="E132" i="1"/>
  <c r="E110" i="1"/>
  <c r="D88" i="1"/>
  <c r="C127" i="1"/>
  <c r="E121" i="1"/>
  <c r="D121" i="1"/>
  <c r="B127" i="1"/>
  <c r="C182" i="1"/>
  <c r="B181" i="1"/>
  <c r="E181" i="1" s="1"/>
  <c r="D180" i="1"/>
  <c r="E74" i="1"/>
  <c r="D74" i="1"/>
  <c r="C46" i="1"/>
  <c r="E45" i="1"/>
  <c r="B46" i="1"/>
  <c r="D45" i="1"/>
  <c r="E12" i="1"/>
  <c r="C38" i="1"/>
  <c r="D12" i="1"/>
  <c r="B38" i="1"/>
  <c r="D46" i="1" l="1"/>
  <c r="E194" i="1"/>
  <c r="D194" i="1"/>
  <c r="C148" i="1"/>
  <c r="E127" i="1"/>
  <c r="B148" i="1"/>
  <c r="D127" i="1"/>
  <c r="D181" i="1"/>
  <c r="B182" i="1"/>
  <c r="C39" i="1"/>
  <c r="E38" i="1"/>
  <c r="B39" i="1"/>
  <c r="D38" i="1"/>
  <c r="E46" i="1"/>
  <c r="B172" i="1" l="1"/>
  <c r="D148" i="1"/>
  <c r="C172" i="1"/>
  <c r="C173" i="1" s="1"/>
  <c r="E148" i="1"/>
  <c r="E182" i="1"/>
  <c r="D182" i="1"/>
  <c r="C47" i="1"/>
  <c r="E39" i="1"/>
  <c r="D39" i="1"/>
  <c r="B47" i="1"/>
  <c r="B173" i="1" l="1"/>
  <c r="B175" i="1" s="1"/>
  <c r="D172" i="1"/>
  <c r="E172" i="1"/>
  <c r="E47" i="1"/>
  <c r="C175" i="1"/>
  <c r="D47" i="1"/>
  <c r="D173" i="1" l="1"/>
  <c r="E173" i="1"/>
  <c r="E175" i="1"/>
  <c r="C183" i="1"/>
  <c r="D175" i="1"/>
  <c r="B183" i="1"/>
  <c r="E183" i="1" l="1"/>
  <c r="D183" i="1"/>
</calcChain>
</file>

<file path=xl/sharedStrings.xml><?xml version="1.0" encoding="utf-8"?>
<sst xmlns="http://schemas.openxmlformats.org/spreadsheetml/2006/main" count="194" uniqueCount="194">
  <si>
    <t>Utah Communications Authority</t>
  </si>
  <si>
    <t>Budget vs. Actual</t>
  </si>
  <si>
    <t>From Jul 2025 to May 2026</t>
  </si>
  <si>
    <t>Amount</t>
  </si>
  <si>
    <t>Budget Amount</t>
  </si>
  <si>
    <t>Amount Over Budget</t>
  </si>
  <si>
    <t>% of Budget</t>
  </si>
  <si>
    <t>Ordinary Income/Expense</t>
  </si>
  <si>
    <t>Income</t>
  </si>
  <si>
    <t>4000 - Operating Revenue</t>
  </si>
  <si>
    <t>4010 - Circuit Revenue</t>
  </si>
  <si>
    <t>4011 - Non-Contract Circuit Revenue</t>
  </si>
  <si>
    <t>4012 - Circuit Maintenance Revenue</t>
  </si>
  <si>
    <t>4014 - Contract Microwave Circuit Revenue - Leases</t>
  </si>
  <si>
    <t>Total - 4010 - Circuit Revenue</t>
  </si>
  <si>
    <t>4020 - Radio Services Revenue</t>
  </si>
  <si>
    <t>4021 - Radio Programming</t>
  </si>
  <si>
    <t>4022 - Radio Service Fees (Non State/Local Government)</t>
  </si>
  <si>
    <t>4023 - Radio Console Maintenance</t>
  </si>
  <si>
    <t>4025 - Other Radio Service Revenue</t>
  </si>
  <si>
    <t>Total - 4020 - Radio Services Revenue</t>
  </si>
  <si>
    <t>4100 - Rental Revenue</t>
  </si>
  <si>
    <t>4110 - Non-Contract Revenue - Sites</t>
  </si>
  <si>
    <t>4111 - Contract Revenue - Site Leases</t>
  </si>
  <si>
    <t>Total - 4100 - Rental Revenue</t>
  </si>
  <si>
    <t>4500 - Restricted Appropriations $.27</t>
  </si>
  <si>
    <t>4536 - Appropriations from Utah Statewide Radio Syst Rest Acct $.27</t>
  </si>
  <si>
    <t>Total - 4500 - Restricted Appropriations $.27</t>
  </si>
  <si>
    <t>4520 - Restricted Appropriations $.34</t>
  </si>
  <si>
    <t>4535 - Appropriations from Utah Statewide Radio Syst Rest Acct $.34</t>
  </si>
  <si>
    <t>Total - 4520 - Restricted Appropriations $.34</t>
  </si>
  <si>
    <t>4530 - Restricted Appropriations 911</t>
  </si>
  <si>
    <t>4534 - Appropriations from Unified Statewide 911 Emergency Serv Acc</t>
  </si>
  <si>
    <t>Total - 4530 - Restricted Appropriations 911</t>
  </si>
  <si>
    <t>4700 - Other Revenue</t>
  </si>
  <si>
    <t>4710 - Bank Interest Income</t>
  </si>
  <si>
    <t>4711 - Contract Interest Revenue - Leases</t>
  </si>
  <si>
    <t>4712 - Dividend Revenue</t>
  </si>
  <si>
    <t>4715 - Miscellaneous Income</t>
  </si>
  <si>
    <t>Total - 4700 - Other Revenue</t>
  </si>
  <si>
    <t>Total - 4000 - Operating Revenue</t>
  </si>
  <si>
    <t>Total - Income</t>
  </si>
  <si>
    <t>Cost Of Sales</t>
  </si>
  <si>
    <t>5000 - Cost of Goods Sold</t>
  </si>
  <si>
    <t>5010 - COGS - Radio Service</t>
  </si>
  <si>
    <t>5020 - COGS - Microwave Circuit</t>
  </si>
  <si>
    <t>5030 - COGS - Misc</t>
  </si>
  <si>
    <t>Total - 5000 - Cost of Goods Sold</t>
  </si>
  <si>
    <t>Total - Cost Of Sales</t>
  </si>
  <si>
    <t>Gross Profit</t>
  </si>
  <si>
    <t>Expense</t>
  </si>
  <si>
    <t>6000 - Operating Expense</t>
  </si>
  <si>
    <t>6010 - Administration Costs</t>
  </si>
  <si>
    <t>6011 - Bank Charges &amp; Credit Card Fees</t>
  </si>
  <si>
    <t>6012 - Cellular Phone Service</t>
  </si>
  <si>
    <t>6013 - Internet</t>
  </si>
  <si>
    <t>6014 - Telephone Service</t>
  </si>
  <si>
    <t>6015 - Dues and Subscriptions</t>
  </si>
  <si>
    <t>6016 - Awards / Commendations / Gifts</t>
  </si>
  <si>
    <t>6017 - Meetings</t>
  </si>
  <si>
    <t>6018 - Non-Capital Office Furniture</t>
  </si>
  <si>
    <t>6019 - Bad Debt</t>
  </si>
  <si>
    <t>6020 - Office Supplies</t>
  </si>
  <si>
    <t>6021 - Postage and Delivery</t>
  </si>
  <si>
    <t>6022 - Non-Capital Software</t>
  </si>
  <si>
    <t>6023 - UCA Website Hosting</t>
  </si>
  <si>
    <t>6024 - Non-Capital Office Equipment</t>
  </si>
  <si>
    <t>6026 - Prof Accreditation / Licensing</t>
  </si>
  <si>
    <t>6027 - Trash, Lawn,Cleaning, Shredding &amp; Other Services</t>
  </si>
  <si>
    <t>6028 - Software/Hardware Maintenance</t>
  </si>
  <si>
    <t>6029 - Travel</t>
  </si>
  <si>
    <t>6030 - Per Diem</t>
  </si>
  <si>
    <t>6031 - Training</t>
  </si>
  <si>
    <t>6032 - Vehicle Repair and Maintenance</t>
  </si>
  <si>
    <t>6033 - Office Equipment Maintenance</t>
  </si>
  <si>
    <t>6056 - Fuel</t>
  </si>
  <si>
    <t>Total - 6010 - Administration Costs</t>
  </si>
  <si>
    <t>6060 - Depreciation</t>
  </si>
  <si>
    <t>6061 - Depreciation Expense</t>
  </si>
  <si>
    <t>Total - 6060 - Depreciation</t>
  </si>
  <si>
    <t>6071 - Lease Amortization - Right of Use Asset Expense</t>
  </si>
  <si>
    <t>Total - 6070 - Amortization</t>
  </si>
  <si>
    <t>6100 - Insurance</t>
  </si>
  <si>
    <t>6101 - Auto Insurance</t>
  </si>
  <si>
    <t>6102 - Equipment Insurance</t>
  </si>
  <si>
    <t>6103 - Liability Insurance</t>
  </si>
  <si>
    <t>6104 - Worker's Compensation</t>
  </si>
  <si>
    <t>6105 - Malpractice Insurance</t>
  </si>
  <si>
    <t>6106 - Cyber Insurance</t>
  </si>
  <si>
    <t>Total - 6100 - Insurance</t>
  </si>
  <si>
    <t>6181 - Interest Expense</t>
  </si>
  <si>
    <t>Total - 6180 - Interest</t>
  </si>
  <si>
    <t>6200 - Radio Network Maint Expense</t>
  </si>
  <si>
    <t>6203 - Frequency Coordination</t>
  </si>
  <si>
    <t>6205 - Site Maintenance - Generator, A/C, etc</t>
  </si>
  <si>
    <t>6206 - Non-Capital Tools &amp; Equipment</t>
  </si>
  <si>
    <t>6207 - Vehicles Repairs and Maintenance</t>
  </si>
  <si>
    <t>6208 - Tower Rents and Leases</t>
  </si>
  <si>
    <t>6209 - Non-Contract Microwave and Other Circuits</t>
  </si>
  <si>
    <t>6210 - Travel</t>
  </si>
  <si>
    <t>6211 - Per Diem</t>
  </si>
  <si>
    <t>6212 - Training</t>
  </si>
  <si>
    <t>6213 - Utilities (Power, Propane, etc.)</t>
  </si>
  <si>
    <t>6215 - Radio Network Maintenance Consulting &amp; Services</t>
  </si>
  <si>
    <t>6217 - Fuel</t>
  </si>
  <si>
    <t>Total - 6200 - Radio Network Maint Expense</t>
  </si>
  <si>
    <t>6400 - Radio Network Upgrade</t>
  </si>
  <si>
    <t>6402 - Travel</t>
  </si>
  <si>
    <t>6403 - Per Diem</t>
  </si>
  <si>
    <t>6416 - Radio Purchase</t>
  </si>
  <si>
    <t>Total - 6400 - Radio Network Upgrade</t>
  </si>
  <si>
    <t>7100 - Payroll Expenses</t>
  </si>
  <si>
    <t>7101 - Employee Benefits</t>
  </si>
  <si>
    <t>7102 - Retirement Benefits</t>
  </si>
  <si>
    <t>7103 - 401k Match</t>
  </si>
  <si>
    <t>7104 - 401k Retirement</t>
  </si>
  <si>
    <t>7105 - Non-Contrib Retirement</t>
  </si>
  <si>
    <t>7106 - Tier 2 DC Retirement Benefit</t>
  </si>
  <si>
    <t>7107 - Tier 2 Hybrid Retirement Benefit</t>
  </si>
  <si>
    <t>7108 - Postemployment Benefits</t>
  </si>
  <si>
    <t>7109 - Pensions Expense</t>
  </si>
  <si>
    <t>Total - 7102 - Retirement Benefits</t>
  </si>
  <si>
    <t>7120 - Dental Benefits</t>
  </si>
  <si>
    <t>7122 - Health Insurance Benefits</t>
  </si>
  <si>
    <t>7123 - HSA Benefit</t>
  </si>
  <si>
    <t>7124 - Life Insurance Benefits</t>
  </si>
  <si>
    <t>7125 - Long Term Disability</t>
  </si>
  <si>
    <t>Total - 7101 - Employee Benefits</t>
  </si>
  <si>
    <t>7140 - Payroll Taxes</t>
  </si>
  <si>
    <t>7141 - Medicare Tax</t>
  </si>
  <si>
    <t>7142 - SSI Tax</t>
  </si>
  <si>
    <t>7143 - SUTA Tax</t>
  </si>
  <si>
    <t>Total - 7140 - Payroll Taxes</t>
  </si>
  <si>
    <t>7150 - Salaries &amp; Wages</t>
  </si>
  <si>
    <t>7151 - Bonus</t>
  </si>
  <si>
    <t>7152 - Comp Time Paid</t>
  </si>
  <si>
    <t>7154 - Holiday Pay</t>
  </si>
  <si>
    <t>7155 - On-Call Pay</t>
  </si>
  <si>
    <t>7156 - Other Leave</t>
  </si>
  <si>
    <t>7157 - Overtime</t>
  </si>
  <si>
    <t>7158 - Salaries/Wages</t>
  </si>
  <si>
    <t>7159 - Sick Pay</t>
  </si>
  <si>
    <t>7160 - Vacation Pay</t>
  </si>
  <si>
    <t>7161 - Vehicle Allowance</t>
  </si>
  <si>
    <t>7163 - Postemployment Forfeiture/Retire</t>
  </si>
  <si>
    <t>7167 - Vacation accrual</t>
  </si>
  <si>
    <t>7168 - Cell Phone Allowance</t>
  </si>
  <si>
    <t>Total - 7150 - Salaries &amp; Wages</t>
  </si>
  <si>
    <t>Total - 7100 - Payroll Expenses</t>
  </si>
  <si>
    <t>7200 - Professional Fees</t>
  </si>
  <si>
    <t>7201 - Human Resources</t>
  </si>
  <si>
    <t>7202 - Audit / Accounting</t>
  </si>
  <si>
    <t>7203 - Legal Fees</t>
  </si>
  <si>
    <t>7204 - Non-Network Consultants</t>
  </si>
  <si>
    <t>7205 - I/T</t>
  </si>
  <si>
    <t>Total - 7200 - Professional Fees</t>
  </si>
  <si>
    <t>7300 - 911 Network Maintenance</t>
  </si>
  <si>
    <t>7304 - Consulting Services</t>
  </si>
  <si>
    <t>7305 - Text to 911 Services</t>
  </si>
  <si>
    <t>7309 - Website Hosting and Design</t>
  </si>
  <si>
    <t>7311 - NG911 Service Contract</t>
  </si>
  <si>
    <t>7316 - PSAP Training</t>
  </si>
  <si>
    <t>7317 - Public Safety Communications Network</t>
  </si>
  <si>
    <t>Total - 7300 - 911 Network Maintenance</t>
  </si>
  <si>
    <t>7450 - Section 304.5 Remaining Funds</t>
  </si>
  <si>
    <t>7451 - Section 304.5 Remaining Funds (1)</t>
  </si>
  <si>
    <t>Total - 7450 - Section 304.5 Remaining Funds</t>
  </si>
  <si>
    <t>7650 - Non-Network Utilities</t>
  </si>
  <si>
    <t>7651 - Water</t>
  </si>
  <si>
    <t>7652 - Gas</t>
  </si>
  <si>
    <t>7653 - Electricity</t>
  </si>
  <si>
    <t>Total - 7650 - Non-Network Utilities</t>
  </si>
  <si>
    <t>Total - 6000 - Operating Expense</t>
  </si>
  <si>
    <t>Total - Expense</t>
  </si>
  <si>
    <t>Net Ordinary Income</t>
  </si>
  <si>
    <t>Other Income and Expenses</t>
  </si>
  <si>
    <t>Other Income</t>
  </si>
  <si>
    <t>7900 - Other Income/Loss</t>
  </si>
  <si>
    <t>7910 - Gain/Loss on Disposal of Asset</t>
  </si>
  <si>
    <t>Total - 7900 - Other Income/Loss</t>
  </si>
  <si>
    <t>Total - Other Income</t>
  </si>
  <si>
    <t>Net Other Income</t>
  </si>
  <si>
    <t>Net Income</t>
  </si>
  <si>
    <t>FY2026 Capital Expenditures</t>
  </si>
  <si>
    <t>P25 Project</t>
  </si>
  <si>
    <t>P25 Expansion Sites</t>
  </si>
  <si>
    <t>Planned EOL Replacement</t>
  </si>
  <si>
    <t>Emergency Spares</t>
  </si>
  <si>
    <t>Other</t>
  </si>
  <si>
    <t>Additional Considerations</t>
  </si>
  <si>
    <t xml:space="preserve"> New UCA Building</t>
  </si>
  <si>
    <t>Total Capital</t>
  </si>
  <si>
    <t>6180 - GASB Interest</t>
  </si>
  <si>
    <t>6070 - Amortization - GASB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</si>
</sst>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7" formatCode="&quot;$&quot;#,##0.00_);\(&quot;$&quot;#,##0.00\)"/>
    <numFmt numFmtId="164" formatCode="#,##0.00%"/>
  </numFmts>
  <fonts count="25" x14ac:knownFonts="1">
    <font>
      <sz val="8"/>
      <name val="Arial"/>
      <family val="2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rgb="FFC0C0C0"/>
      </top>
      <bottom/>
      <diagonal/>
    </border>
    <border>
      <left/>
      <right/>
      <top style="dotted">
        <color rgb="FF969696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20" fillId="33" borderId="0" xfId="0" applyFont="1" applyFill="1" applyAlignment="1">
      <alignment horizontal="left"/>
    </xf>
    <xf numFmtId="0" fontId="20" fillId="33" borderId="0" xfId="0" applyFont="1" applyFill="1" applyAlignment="1">
      <alignment horizontal="right"/>
    </xf>
    <xf numFmtId="0" fontId="21" fillId="0" borderId="0" xfId="0" applyFont="1" applyAlignment="1">
      <alignment horizontal="left" vertical="center"/>
    </xf>
    <xf numFmtId="7" fontId="21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Fill="1"/>
    <xf numFmtId="0" fontId="22" fillId="34" borderId="0" xfId="0" applyFont="1" applyFill="1" applyAlignment="1">
      <alignment horizontal="left" indent="1"/>
    </xf>
    <xf numFmtId="7" fontId="22" fillId="0" borderId="0" xfId="0" applyNumberFormat="1" applyFont="1" applyAlignment="1">
      <alignment horizontal="right" vertical="center"/>
    </xf>
    <xf numFmtId="164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indent="2"/>
    </xf>
    <xf numFmtId="0" fontId="22" fillId="0" borderId="0" xfId="0" applyFont="1" applyAlignment="1">
      <alignment horizontal="left" indent="3"/>
    </xf>
    <xf numFmtId="0" fontId="23" fillId="0" borderId="0" xfId="0" applyFont="1" applyAlignment="1">
      <alignment horizontal="left" indent="4"/>
    </xf>
    <xf numFmtId="7" fontId="23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right" vertical="center"/>
    </xf>
    <xf numFmtId="0" fontId="22" fillId="0" borderId="10" xfId="0" applyFont="1" applyBorder="1" applyAlignment="1">
      <alignment horizontal="left" indent="3"/>
    </xf>
    <xf numFmtId="7" fontId="22" fillId="0" borderId="10" xfId="0" applyNumberFormat="1" applyFont="1" applyBorder="1" applyAlignment="1">
      <alignment horizontal="right" vertical="center"/>
    </xf>
    <xf numFmtId="164" fontId="22" fillId="0" borderId="10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left" indent="2"/>
    </xf>
    <xf numFmtId="0" fontId="22" fillId="34" borderId="10" xfId="0" applyFont="1" applyFill="1" applyBorder="1" applyAlignment="1">
      <alignment horizontal="left" indent="1"/>
    </xf>
    <xf numFmtId="7" fontId="22" fillId="34" borderId="10" xfId="0" applyNumberFormat="1" applyFont="1" applyFill="1" applyBorder="1" applyAlignment="1">
      <alignment horizontal="right" vertical="center"/>
    </xf>
    <xf numFmtId="164" fontId="22" fillId="34" borderId="10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left" indent="1"/>
    </xf>
    <xf numFmtId="0" fontId="23" fillId="0" borderId="0" xfId="0" applyFont="1" applyAlignment="1">
      <alignment horizontal="left" indent="3"/>
    </xf>
    <xf numFmtId="0" fontId="22" fillId="0" borderId="10" xfId="0" applyFont="1" applyBorder="1" applyAlignment="1">
      <alignment horizontal="left" indent="1"/>
    </xf>
    <xf numFmtId="0" fontId="22" fillId="0" borderId="11" xfId="0" applyFont="1" applyBorder="1" applyAlignment="1">
      <alignment horizontal="left" indent="1"/>
    </xf>
    <xf numFmtId="7" fontId="22" fillId="0" borderId="11" xfId="0" applyNumberFormat="1" applyFont="1" applyBorder="1" applyAlignment="1">
      <alignment horizontal="right" vertical="center"/>
    </xf>
    <xf numFmtId="164" fontId="22" fillId="0" borderId="11" xfId="0" applyNumberFormat="1" applyFont="1" applyBorder="1" applyAlignment="1">
      <alignment horizontal="right" vertical="center"/>
    </xf>
    <xf numFmtId="0" fontId="22" fillId="0" borderId="0" xfId="0" applyFont="1" applyAlignment="1">
      <alignment horizontal="left" indent="4"/>
    </xf>
    <xf numFmtId="0" fontId="22" fillId="0" borderId="0" xfId="0" applyFont="1" applyAlignment="1">
      <alignment horizontal="left" indent="5"/>
    </xf>
    <xf numFmtId="0" fontId="23" fillId="0" borderId="0" xfId="0" applyFont="1" applyAlignment="1">
      <alignment horizontal="left" indent="6"/>
    </xf>
    <xf numFmtId="0" fontId="22" fillId="0" borderId="10" xfId="0" applyFont="1" applyBorder="1" applyAlignment="1">
      <alignment horizontal="left" indent="5"/>
    </xf>
    <xf numFmtId="0" fontId="23" fillId="0" borderId="0" xfId="0" applyFont="1" applyAlignment="1">
      <alignment horizontal="left" indent="5"/>
    </xf>
    <xf numFmtId="0" fontId="22" fillId="0" borderId="10" xfId="0" applyFont="1" applyBorder="1" applyAlignment="1">
      <alignment horizontal="left" indent="4"/>
    </xf>
    <xf numFmtId="0" fontId="22" fillId="0" borderId="0" xfId="0" applyFont="1" applyFill="1" applyBorder="1" applyAlignment="1">
      <alignment horizontal="left" indent="1"/>
    </xf>
    <xf numFmtId="7" fontId="22" fillId="0" borderId="0" xfId="0" applyNumberFormat="1" applyFont="1" applyFill="1" applyBorder="1" applyAlignment="1">
      <alignment horizontal="right" vertical="center"/>
    </xf>
    <xf numFmtId="164" fontId="22" fillId="0" borderId="0" xfId="0" applyNumberFormat="1" applyFont="1" applyFill="1" applyBorder="1" applyAlignment="1">
      <alignment horizontal="right" vertical="center"/>
    </xf>
    <xf numFmtId="0" fontId="22" fillId="0" borderId="1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34" borderId="11" xfId="0" applyFont="1" applyFill="1" applyBorder="1" applyAlignment="1">
      <alignment horizontal="left" vertical="center"/>
    </xf>
    <xf numFmtId="7" fontId="22" fillId="34" borderId="11" xfId="0" applyNumberFormat="1" applyFont="1" applyFill="1" applyBorder="1" applyAlignment="1">
      <alignment horizontal="right" vertical="center"/>
    </xf>
    <xf numFmtId="164" fontId="22" fillId="34" borderId="11" xfId="0" applyNumberFormat="1" applyFont="1" applyFill="1" applyBorder="1" applyAlignment="1">
      <alignment horizontal="right" vertical="center"/>
    </xf>
    <xf numFmtId="0" fontId="24" fillId="0" borderId="0" xfId="0" applyFont="1"/>
    <xf numFmtId="5" fontId="22" fillId="0" borderId="0" xfId="0" applyNumberFormat="1" applyFont="1" applyAlignment="1">
      <alignment horizontal="right" vertical="center"/>
    </xf>
    <xf numFmtId="10" fontId="22" fillId="0" borderId="0" xfId="1" applyNumberFormat="1" applyFont="1" applyBorder="1" applyAlignment="1">
      <alignment horizontal="right" vertical="center"/>
    </xf>
    <xf numFmtId="5" fontId="23" fillId="0" borderId="0" xfId="0" applyNumberFormat="1" applyFont="1" applyAlignment="1">
      <alignment horizontal="right" vertical="center"/>
    </xf>
    <xf numFmtId="10" fontId="23" fillId="0" borderId="0" xfId="1" applyNumberFormat="1" applyFont="1" applyBorder="1" applyAlignment="1">
      <alignment horizontal="right" vertical="center"/>
    </xf>
    <xf numFmtId="5" fontId="22" fillId="34" borderId="12" xfId="0" applyNumberFormat="1" applyFont="1" applyFill="1" applyBorder="1" applyAlignment="1">
      <alignment horizontal="right" vertical="center"/>
    </xf>
    <xf numFmtId="164" fontId="22" fillId="34" borderId="12" xfId="0" applyNumberFormat="1" applyFont="1" applyFill="1" applyBorder="1" applyAlignment="1">
      <alignment horizontal="right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6395-E2D6-6F4B-BCC0-867F3BF43AC0}">
  <sheetPr>
    <pageSetUpPr fitToPage="1"/>
  </sheetPr>
  <dimension ref="A1:F195"/>
  <sheetViews>
    <sheetView tabSelected="1" topLeftCell="A32" zoomScale="140" zoomScaleNormal="140" workbookViewId="0">
      <selection sqref="A1:E195"/>
    </sheetView>
  </sheetViews>
  <sheetFormatPr defaultColWidth="12" defaultRowHeight="11.25" x14ac:dyDescent="0.2"/>
  <cols>
    <col min="1" max="1" width="43.6640625" customWidth="1"/>
    <col min="2" max="3" width="21.1640625" bestFit="1" customWidth="1"/>
    <col min="4" max="4" width="22.1640625" bestFit="1" customWidth="1"/>
    <col min="5" max="5" width="13.1640625" bestFit="1" customWidth="1"/>
  </cols>
  <sheetData>
    <row r="1" spans="1:5" ht="15.75" x14ac:dyDescent="0.25">
      <c r="A1" s="6" t="s">
        <v>0</v>
      </c>
      <c r="B1" s="6"/>
      <c r="C1" s="6"/>
      <c r="D1" s="6"/>
      <c r="E1" s="6"/>
    </row>
    <row r="2" spans="1:5" ht="18" x14ac:dyDescent="0.25">
      <c r="A2" s="7" t="s">
        <v>1</v>
      </c>
      <c r="B2" s="7"/>
      <c r="C2" s="7"/>
      <c r="D2" s="7"/>
      <c r="E2" s="7"/>
    </row>
    <row r="3" spans="1:5" ht="18" x14ac:dyDescent="0.25">
      <c r="A3" s="7" t="s">
        <v>2</v>
      </c>
      <c r="B3" s="7"/>
      <c r="C3" s="7"/>
      <c r="D3" s="7"/>
      <c r="E3" s="7"/>
    </row>
    <row r="4" spans="1:5" x14ac:dyDescent="0.2">
      <c r="A4" s="1"/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">
      <c r="A5" s="3" t="s">
        <v>7</v>
      </c>
      <c r="B5" s="4"/>
      <c r="C5" s="4"/>
      <c r="D5" s="4"/>
      <c r="E5" s="5"/>
    </row>
    <row r="6" spans="1:5" ht="15.75" x14ac:dyDescent="0.25">
      <c r="A6" s="9" t="s">
        <v>8</v>
      </c>
      <c r="B6" s="10"/>
      <c r="C6" s="10"/>
      <c r="D6" s="10"/>
      <c r="E6" s="11"/>
    </row>
    <row r="7" spans="1:5" ht="15.75" x14ac:dyDescent="0.25">
      <c r="A7" s="12" t="s">
        <v>9</v>
      </c>
      <c r="B7" s="10"/>
      <c r="C7" s="10"/>
      <c r="D7" s="10"/>
      <c r="E7" s="11"/>
    </row>
    <row r="8" spans="1:5" ht="15.75" x14ac:dyDescent="0.25">
      <c r="A8" s="13" t="s">
        <v>10</v>
      </c>
      <c r="B8" s="10">
        <v>115791.09999999999</v>
      </c>
      <c r="C8" s="10">
        <v>195000</v>
      </c>
      <c r="D8" s="10">
        <v>-79208.899999999994</v>
      </c>
      <c r="E8" s="11">
        <v>0.59380051282051283</v>
      </c>
    </row>
    <row r="9" spans="1:5" ht="15" hidden="1" x14ac:dyDescent="0.2">
      <c r="A9" s="14" t="s">
        <v>11</v>
      </c>
      <c r="B9" s="15">
        <v>4179.6499999999996</v>
      </c>
      <c r="C9" s="15">
        <v>50000</v>
      </c>
      <c r="D9" s="15">
        <f>(ROUND(B9,2)- ROUND(C9,2))</f>
        <v>-45820.35</v>
      </c>
      <c r="E9" s="16">
        <f>(IF((ROUND(C9,2) = 0),0,((100 * ROUND(B9,2)) / ROUND(C9,2))))/100</f>
        <v>8.3592999999999987E-2</v>
      </c>
    </row>
    <row r="10" spans="1:5" ht="15" hidden="1" x14ac:dyDescent="0.2">
      <c r="A10" s="14" t="s">
        <v>12</v>
      </c>
      <c r="B10" s="15">
        <v>2667.72</v>
      </c>
      <c r="C10" s="15">
        <v>7000</v>
      </c>
      <c r="D10" s="15">
        <f>(ROUND(B10,2)- ROUND(C10,2))</f>
        <v>-4332.2800000000007</v>
      </c>
      <c r="E10" s="16">
        <f>(IF((ROUND(C10,2) = 0),0,((100 * ROUND(B10,2)) / ROUND(C10,2))))/100</f>
        <v>0.38110285714285719</v>
      </c>
    </row>
    <row r="11" spans="1:5" ht="15" hidden="1" x14ac:dyDescent="0.2">
      <c r="A11" s="14" t="s">
        <v>13</v>
      </c>
      <c r="B11" s="15">
        <v>108943.73</v>
      </c>
      <c r="C11" s="15">
        <v>138000</v>
      </c>
      <c r="D11" s="15">
        <f>(ROUND(B11,2)- ROUND(C11,2))</f>
        <v>-29056.270000000004</v>
      </c>
      <c r="E11" s="16">
        <f>(IF((ROUND(C11,2) = 0),0,((100 * ROUND(B11,2)) / ROUND(C11,2))))/100</f>
        <v>0.78944731884057973</v>
      </c>
    </row>
    <row r="12" spans="1:5" ht="15.75" hidden="1" x14ac:dyDescent="0.25">
      <c r="A12" s="17" t="s">
        <v>14</v>
      </c>
      <c r="B12" s="18">
        <f>SUM(B9:B11)</f>
        <v>115791.09999999999</v>
      </c>
      <c r="C12" s="18">
        <f>SUM(C9:C11)</f>
        <v>195000</v>
      </c>
      <c r="D12" s="18">
        <f>(ROUND(B12,2)- ROUND(C12,2))</f>
        <v>-79208.899999999994</v>
      </c>
      <c r="E12" s="19">
        <f>(IF((ROUND(C12,2) = 0),0,((100 * ROUND(B12,2)) / ROUND(C12,2))))/100</f>
        <v>0.59380051282051283</v>
      </c>
    </row>
    <row r="13" spans="1:5" ht="15.75" x14ac:dyDescent="0.25">
      <c r="A13" s="13" t="s">
        <v>15</v>
      </c>
      <c r="B13" s="10">
        <v>427000.88</v>
      </c>
      <c r="C13" s="10">
        <v>472000</v>
      </c>
      <c r="D13" s="10">
        <v>-44999.119999999995</v>
      </c>
      <c r="E13" s="11">
        <v>0.9046628813559322</v>
      </c>
    </row>
    <row r="14" spans="1:5" ht="15" hidden="1" x14ac:dyDescent="0.2">
      <c r="A14" s="14" t="s">
        <v>16</v>
      </c>
      <c r="B14" s="15">
        <v>12214</v>
      </c>
      <c r="C14" s="15">
        <v>5000</v>
      </c>
      <c r="D14" s="15">
        <f>(ROUND(B14,2)- ROUND(C14,2))</f>
        <v>7214</v>
      </c>
      <c r="E14" s="16">
        <f>(IF((ROUND(C14,2) = 0),0,((100 * ROUND(B14,2)) / ROUND(C14,2))))/100</f>
        <v>2.4428000000000001</v>
      </c>
    </row>
    <row r="15" spans="1:5" ht="15" hidden="1" x14ac:dyDescent="0.2">
      <c r="A15" s="14" t="s">
        <v>17</v>
      </c>
      <c r="B15" s="15">
        <v>407890.68</v>
      </c>
      <c r="C15" s="15">
        <v>450000</v>
      </c>
      <c r="D15" s="15">
        <f>(ROUND(B15,2)- ROUND(C15,2))</f>
        <v>-42109.320000000007</v>
      </c>
      <c r="E15" s="16">
        <f>(IF((ROUND(C15,2) = 0),0,((100 * ROUND(B15,2)) / ROUND(C15,2))))/100</f>
        <v>0.90642373333333337</v>
      </c>
    </row>
    <row r="16" spans="1:5" ht="15" hidden="1" x14ac:dyDescent="0.2">
      <c r="A16" s="14" t="s">
        <v>18</v>
      </c>
      <c r="B16" s="15">
        <v>0</v>
      </c>
      <c r="C16" s="15">
        <v>2000</v>
      </c>
      <c r="D16" s="15">
        <f>(ROUND(B16,2)- ROUND(C16,2))</f>
        <v>-2000</v>
      </c>
      <c r="E16" s="16">
        <f>(IF((ROUND(C16,2) = 0),0,((100 * ROUND(B16,2)) / ROUND(C16,2))))/100</f>
        <v>0</v>
      </c>
    </row>
    <row r="17" spans="1:5" ht="15" hidden="1" x14ac:dyDescent="0.2">
      <c r="A17" s="14" t="s">
        <v>19</v>
      </c>
      <c r="B17" s="15">
        <v>6896.2</v>
      </c>
      <c r="C17" s="15">
        <v>15000</v>
      </c>
      <c r="D17" s="15">
        <f>(ROUND(B17,2)- ROUND(C17,2))</f>
        <v>-8103.8</v>
      </c>
      <c r="E17" s="16">
        <f>(IF((ROUND(C17,2) = 0),0,((100 * ROUND(B17,2)) / ROUND(C17,2))))/100</f>
        <v>0.45974666666666664</v>
      </c>
    </row>
    <row r="18" spans="1:5" ht="15.75" hidden="1" x14ac:dyDescent="0.25">
      <c r="A18" s="17" t="s">
        <v>20</v>
      </c>
      <c r="B18" s="18">
        <f>SUM(B14:B17)</f>
        <v>427000.88</v>
      </c>
      <c r="C18" s="18">
        <f>SUM(C14:C17)</f>
        <v>472000</v>
      </c>
      <c r="D18" s="18">
        <f>(ROUND(B18,2)- ROUND(C18,2))</f>
        <v>-44999.119999999995</v>
      </c>
      <c r="E18" s="19">
        <f>(IF((ROUND(C18,2) = 0),0,((100 * ROUND(B18,2)) / ROUND(C18,2))))/100</f>
        <v>0.9046628813559322</v>
      </c>
    </row>
    <row r="19" spans="1:5" ht="15.75" x14ac:dyDescent="0.25">
      <c r="A19" s="13" t="s">
        <v>21</v>
      </c>
      <c r="B19" s="10">
        <v>293302.17</v>
      </c>
      <c r="C19" s="10">
        <v>334000</v>
      </c>
      <c r="D19" s="10">
        <v>-40697.830000000016</v>
      </c>
      <c r="E19" s="11">
        <v>0.87815020958083834</v>
      </c>
    </row>
    <row r="20" spans="1:5" ht="15" hidden="1" x14ac:dyDescent="0.2">
      <c r="A20" s="14" t="s">
        <v>22</v>
      </c>
      <c r="B20" s="15">
        <v>18409.36</v>
      </c>
      <c r="C20" s="15">
        <v>50000</v>
      </c>
      <c r="D20" s="15">
        <f>(ROUND(B20,2)- ROUND(C20,2))</f>
        <v>-31590.639999999999</v>
      </c>
      <c r="E20" s="16">
        <f>(IF((ROUND(C20,2) = 0),0,((100 * ROUND(B20,2)) / ROUND(C20,2))))/100</f>
        <v>0.36818719999999999</v>
      </c>
    </row>
    <row r="21" spans="1:5" ht="15" hidden="1" x14ac:dyDescent="0.2">
      <c r="A21" s="14" t="s">
        <v>23</v>
      </c>
      <c r="B21" s="15">
        <v>274892.81</v>
      </c>
      <c r="C21" s="15">
        <v>284000</v>
      </c>
      <c r="D21" s="15">
        <f>(ROUND(B21,2)- ROUND(C21,2))</f>
        <v>-9107.1900000000023</v>
      </c>
      <c r="E21" s="16">
        <f>(IF((ROUND(C21,2) = 0),0,((100 * ROUND(B21,2)) / ROUND(C21,2))))/100</f>
        <v>0.96793242957746484</v>
      </c>
    </row>
    <row r="22" spans="1:5" ht="15.75" hidden="1" x14ac:dyDescent="0.25">
      <c r="A22" s="17" t="s">
        <v>24</v>
      </c>
      <c r="B22" s="18">
        <f>SUM(B20:B21)</f>
        <v>293302.17</v>
      </c>
      <c r="C22" s="18">
        <f>SUM(C20:C21)</f>
        <v>334000</v>
      </c>
      <c r="D22" s="18">
        <f>(ROUND(B22,2)- ROUND(C22,2))</f>
        <v>-40697.830000000016</v>
      </c>
      <c r="E22" s="19">
        <f>(IF((ROUND(C22,2) = 0),0,((100 * ROUND(B22,2)) / ROUND(C22,2))))/100</f>
        <v>0.87815020958083834</v>
      </c>
    </row>
    <row r="23" spans="1:5" ht="15.75" x14ac:dyDescent="0.25">
      <c r="A23" s="13" t="s">
        <v>25</v>
      </c>
      <c r="B23" s="10">
        <v>11588337.52</v>
      </c>
      <c r="C23" s="10">
        <v>21990000</v>
      </c>
      <c r="D23" s="10">
        <v>-10401662.48</v>
      </c>
      <c r="E23" s="11">
        <v>0.52698215188722142</v>
      </c>
    </row>
    <row r="24" spans="1:5" ht="15" hidden="1" x14ac:dyDescent="0.2">
      <c r="A24" s="14" t="s">
        <v>26</v>
      </c>
      <c r="B24" s="15">
        <v>11588337.52</v>
      </c>
      <c r="C24" s="15">
        <v>21990000</v>
      </c>
      <c r="D24" s="15">
        <f>(ROUND(B24,2)- ROUND(C24,2))</f>
        <v>-10401662.48</v>
      </c>
      <c r="E24" s="16">
        <f>(IF((ROUND(C24,2) = 0),0,((100 * ROUND(B24,2)) / ROUND(C24,2))))/100</f>
        <v>0.52698215188722142</v>
      </c>
    </row>
    <row r="25" spans="1:5" ht="15.75" hidden="1" x14ac:dyDescent="0.25">
      <c r="A25" s="17" t="s">
        <v>27</v>
      </c>
      <c r="B25" s="18">
        <f>SUM(B24)</f>
        <v>11588337.52</v>
      </c>
      <c r="C25" s="18">
        <f>SUM(C24)</f>
        <v>21990000</v>
      </c>
      <c r="D25" s="18">
        <f>(ROUND(B25,2)- ROUND(C25,2))</f>
        <v>-10401662.48</v>
      </c>
      <c r="E25" s="19">
        <f>(IF((ROUND(C25,2) = 0),0,((100 * ROUND(B25,2)) / ROUND(C25,2))))/100</f>
        <v>0.52698215188722142</v>
      </c>
    </row>
    <row r="26" spans="1:5" ht="15.75" x14ac:dyDescent="0.25">
      <c r="A26" s="13" t="s">
        <v>28</v>
      </c>
      <c r="B26" s="10">
        <v>46651.64</v>
      </c>
      <c r="C26" s="10">
        <v>10000</v>
      </c>
      <c r="D26" s="10">
        <v>36651.64</v>
      </c>
      <c r="E26" s="11">
        <v>4.6651639999999999</v>
      </c>
    </row>
    <row r="27" spans="1:5" ht="15" hidden="1" x14ac:dyDescent="0.2">
      <c r="A27" s="14" t="s">
        <v>29</v>
      </c>
      <c r="B27" s="15">
        <v>46651.64</v>
      </c>
      <c r="C27" s="15">
        <v>10000</v>
      </c>
      <c r="D27" s="15">
        <f>(ROUND(B27,2)- ROUND(C27,2))</f>
        <v>36651.64</v>
      </c>
      <c r="E27" s="16">
        <f>(IF((ROUND(C27,2) = 0),0,((100 * ROUND(B27,2)) / ROUND(C27,2))))/100</f>
        <v>4.6651639999999999</v>
      </c>
    </row>
    <row r="28" spans="1:5" ht="15.75" hidden="1" x14ac:dyDescent="0.25">
      <c r="A28" s="17" t="s">
        <v>30</v>
      </c>
      <c r="B28" s="18">
        <f>SUM(B27)</f>
        <v>46651.64</v>
      </c>
      <c r="C28" s="18">
        <f>SUM(C27)</f>
        <v>10000</v>
      </c>
      <c r="D28" s="18">
        <f>(ROUND(B28,2)- ROUND(C28,2))</f>
        <v>36651.64</v>
      </c>
      <c r="E28" s="19">
        <f>(IF((ROUND(C28,2) = 0),0,((100 * ROUND(B28,2)) / ROUND(C28,2))))/100</f>
        <v>4.6651639999999999</v>
      </c>
    </row>
    <row r="29" spans="1:5" ht="15.75" x14ac:dyDescent="0.25">
      <c r="A29" s="13" t="s">
        <v>31</v>
      </c>
      <c r="B29" s="10">
        <v>10000000</v>
      </c>
      <c r="C29" s="10">
        <v>10000000</v>
      </c>
      <c r="D29" s="10">
        <v>0</v>
      </c>
      <c r="E29" s="11">
        <v>1</v>
      </c>
    </row>
    <row r="30" spans="1:5" ht="15" hidden="1" x14ac:dyDescent="0.2">
      <c r="A30" s="14" t="s">
        <v>32</v>
      </c>
      <c r="B30" s="15">
        <v>10000000</v>
      </c>
      <c r="C30" s="15">
        <v>10000000</v>
      </c>
      <c r="D30" s="15">
        <f>(ROUND(B30,2)- ROUND(C30,2))</f>
        <v>0</v>
      </c>
      <c r="E30" s="16">
        <f>(IF((ROUND(C30,2) = 0),0,((100 * ROUND(B30,2)) / ROUND(C30,2))))/100</f>
        <v>1</v>
      </c>
    </row>
    <row r="31" spans="1:5" ht="15.75" hidden="1" x14ac:dyDescent="0.25">
      <c r="A31" s="17" t="s">
        <v>33</v>
      </c>
      <c r="B31" s="18">
        <f>SUM(B30)</f>
        <v>10000000</v>
      </c>
      <c r="C31" s="18">
        <f>SUM(C30)</f>
        <v>10000000</v>
      </c>
      <c r="D31" s="18">
        <f>(ROUND(B31,2)- ROUND(C31,2))</f>
        <v>0</v>
      </c>
      <c r="E31" s="19">
        <f>(IF((ROUND(C31,2) = 0),0,((100 * ROUND(B31,2)) / ROUND(C31,2))))/100</f>
        <v>1</v>
      </c>
    </row>
    <row r="32" spans="1:5" ht="15.75" x14ac:dyDescent="0.25">
      <c r="A32" s="13" t="s">
        <v>34</v>
      </c>
      <c r="B32" s="10">
        <v>3125668.9299999997</v>
      </c>
      <c r="C32" s="10">
        <v>2680000</v>
      </c>
      <c r="D32" s="10">
        <v>445668.93000000017</v>
      </c>
      <c r="E32" s="11">
        <v>1.1662943768656715</v>
      </c>
    </row>
    <row r="33" spans="1:5" ht="15" hidden="1" x14ac:dyDescent="0.2">
      <c r="A33" s="14" t="s">
        <v>35</v>
      </c>
      <c r="B33" s="15">
        <v>2972572.56</v>
      </c>
      <c r="C33" s="15">
        <v>2600000</v>
      </c>
      <c r="D33" s="15">
        <f t="shared" ref="D33:D39" si="0">(ROUND(B33,2)- ROUND(C33,2))</f>
        <v>372572.56000000006</v>
      </c>
      <c r="E33" s="16">
        <f t="shared" ref="E33:E39" si="1">(IF((ROUND(C33,2) = 0),0,((100 * ROUND(B33,2)) / ROUND(C33,2))))/100</f>
        <v>1.1432971384615385</v>
      </c>
    </row>
    <row r="34" spans="1:5" ht="15" hidden="1" x14ac:dyDescent="0.2">
      <c r="A34" s="14" t="s">
        <v>36</v>
      </c>
      <c r="B34" s="15">
        <v>60581.77</v>
      </c>
      <c r="C34" s="15">
        <v>20000</v>
      </c>
      <c r="D34" s="15">
        <f t="shared" si="0"/>
        <v>40581.769999999997</v>
      </c>
      <c r="E34" s="16">
        <f t="shared" si="1"/>
        <v>3.0290884999999999</v>
      </c>
    </row>
    <row r="35" spans="1:5" ht="15" hidden="1" x14ac:dyDescent="0.2">
      <c r="A35" s="14" t="s">
        <v>37</v>
      </c>
      <c r="B35" s="15">
        <v>46165.34</v>
      </c>
      <c r="C35" s="15">
        <v>60000</v>
      </c>
      <c r="D35" s="15">
        <f t="shared" si="0"/>
        <v>-13834.660000000003</v>
      </c>
      <c r="E35" s="16">
        <f t="shared" si="1"/>
        <v>0.76942233333333332</v>
      </c>
    </row>
    <row r="36" spans="1:5" ht="15" hidden="1" x14ac:dyDescent="0.2">
      <c r="A36" s="14" t="s">
        <v>38</v>
      </c>
      <c r="B36" s="15">
        <v>46349.26</v>
      </c>
      <c r="C36" s="15">
        <v>0</v>
      </c>
      <c r="D36" s="15">
        <f t="shared" si="0"/>
        <v>46349.26</v>
      </c>
      <c r="E36" s="16">
        <f t="shared" si="1"/>
        <v>0</v>
      </c>
    </row>
    <row r="37" spans="1:5" ht="15.75" hidden="1" x14ac:dyDescent="0.25">
      <c r="A37" s="17" t="s">
        <v>39</v>
      </c>
      <c r="B37" s="18">
        <f>SUM(B33:B36)</f>
        <v>3125668.9299999997</v>
      </c>
      <c r="C37" s="18">
        <f>SUM(C33:C36)</f>
        <v>2680000</v>
      </c>
      <c r="D37" s="18">
        <f t="shared" si="0"/>
        <v>445668.93000000017</v>
      </c>
      <c r="E37" s="19">
        <f t="shared" si="1"/>
        <v>1.1662943768656715</v>
      </c>
    </row>
    <row r="38" spans="1:5" ht="15.75" x14ac:dyDescent="0.25">
      <c r="A38" s="20" t="s">
        <v>40</v>
      </c>
      <c r="B38" s="18">
        <f>SUM(B12,B18,B22,B25,B28,B31,B37)</f>
        <v>25596752.240000002</v>
      </c>
      <c r="C38" s="18">
        <f>SUM(C12,C18,C22,C25,C28,C31,C37)</f>
        <v>35681000</v>
      </c>
      <c r="D38" s="18">
        <f t="shared" si="0"/>
        <v>-10084247.760000002</v>
      </c>
      <c r="E38" s="19">
        <f t="shared" si="1"/>
        <v>0.71737765869790648</v>
      </c>
    </row>
    <row r="39" spans="1:5" ht="15.75" x14ac:dyDescent="0.25">
      <c r="A39" s="21" t="s">
        <v>41</v>
      </c>
      <c r="B39" s="22">
        <f>SUM(B38)</f>
        <v>25596752.240000002</v>
      </c>
      <c r="C39" s="22">
        <f>SUM(C38)</f>
        <v>35681000</v>
      </c>
      <c r="D39" s="22">
        <f t="shared" si="0"/>
        <v>-10084247.760000002</v>
      </c>
      <c r="E39" s="23">
        <f t="shared" si="1"/>
        <v>0.71737765869790648</v>
      </c>
    </row>
    <row r="40" spans="1:5" ht="15.75" x14ac:dyDescent="0.25">
      <c r="A40" s="24" t="s">
        <v>42</v>
      </c>
      <c r="B40" s="10"/>
      <c r="C40" s="10"/>
      <c r="D40" s="10"/>
      <c r="E40" s="11"/>
    </row>
    <row r="41" spans="1:5" ht="15.75" x14ac:dyDescent="0.25">
      <c r="A41" s="12" t="s">
        <v>43</v>
      </c>
      <c r="B41" s="10">
        <v>0</v>
      </c>
      <c r="C41" s="10">
        <v>55000</v>
      </c>
      <c r="D41" s="10">
        <v>-55000</v>
      </c>
      <c r="E41" s="11">
        <v>0</v>
      </c>
    </row>
    <row r="42" spans="1:5" ht="15" hidden="1" x14ac:dyDescent="0.2">
      <c r="A42" s="25" t="s">
        <v>44</v>
      </c>
      <c r="B42" s="15">
        <v>0</v>
      </c>
      <c r="C42" s="15">
        <v>5000</v>
      </c>
      <c r="D42" s="15">
        <f t="shared" ref="D42:D47" si="2">(ROUND(B42,2)- ROUND(C42,2))</f>
        <v>-5000</v>
      </c>
      <c r="E42" s="16">
        <f t="shared" ref="E42:E47" si="3">(IF((ROUND(C42,2) = 0),0,((100 * ROUND(B42,2)) / ROUND(C42,2))))/100</f>
        <v>0</v>
      </c>
    </row>
    <row r="43" spans="1:5" ht="15" hidden="1" x14ac:dyDescent="0.2">
      <c r="A43" s="25" t="s">
        <v>45</v>
      </c>
      <c r="B43" s="15">
        <v>0</v>
      </c>
      <c r="C43" s="15">
        <v>5000</v>
      </c>
      <c r="D43" s="15">
        <f t="shared" si="2"/>
        <v>-5000</v>
      </c>
      <c r="E43" s="16">
        <f t="shared" si="3"/>
        <v>0</v>
      </c>
    </row>
    <row r="44" spans="1:5" ht="15" hidden="1" x14ac:dyDescent="0.2">
      <c r="A44" s="25" t="s">
        <v>46</v>
      </c>
      <c r="B44" s="15">
        <v>0</v>
      </c>
      <c r="C44" s="15">
        <v>45000</v>
      </c>
      <c r="D44" s="15">
        <f t="shared" si="2"/>
        <v>-45000</v>
      </c>
      <c r="E44" s="16">
        <f t="shared" si="3"/>
        <v>0</v>
      </c>
    </row>
    <row r="45" spans="1:5" ht="15.75" hidden="1" x14ac:dyDescent="0.25">
      <c r="A45" s="20" t="s">
        <v>47</v>
      </c>
      <c r="B45" s="18">
        <f>SUM(B42:B44)</f>
        <v>0</v>
      </c>
      <c r="C45" s="18">
        <f>SUM(C42:C44)</f>
        <v>55000</v>
      </c>
      <c r="D45" s="18">
        <f t="shared" si="2"/>
        <v>-55000</v>
      </c>
      <c r="E45" s="19">
        <f t="shared" si="3"/>
        <v>0</v>
      </c>
    </row>
    <row r="46" spans="1:5" ht="15.75" x14ac:dyDescent="0.25">
      <c r="A46" s="26" t="s">
        <v>48</v>
      </c>
      <c r="B46" s="18">
        <f>SUM(B45)</f>
        <v>0</v>
      </c>
      <c r="C46" s="18">
        <f>SUM(C45)</f>
        <v>55000</v>
      </c>
      <c r="D46" s="18">
        <f t="shared" si="2"/>
        <v>-55000</v>
      </c>
      <c r="E46" s="19">
        <f t="shared" si="3"/>
        <v>0</v>
      </c>
    </row>
    <row r="47" spans="1:5" ht="15.75" x14ac:dyDescent="0.25">
      <c r="A47" s="27" t="s">
        <v>49</v>
      </c>
      <c r="B47" s="28">
        <f>B39-B46</f>
        <v>25596752.240000002</v>
      </c>
      <c r="C47" s="28">
        <f>C39-C46</f>
        <v>35626000</v>
      </c>
      <c r="D47" s="28">
        <f t="shared" si="2"/>
        <v>-10029247.760000002</v>
      </c>
      <c r="E47" s="29">
        <f t="shared" si="3"/>
        <v>0.71848515803065183</v>
      </c>
    </row>
    <row r="48" spans="1:5" ht="15.75" x14ac:dyDescent="0.25">
      <c r="A48" s="9" t="s">
        <v>50</v>
      </c>
      <c r="B48" s="10"/>
      <c r="C48" s="10"/>
      <c r="D48" s="10"/>
      <c r="E48" s="11"/>
    </row>
    <row r="49" spans="1:5" ht="15.75" x14ac:dyDescent="0.25">
      <c r="A49" s="12" t="s">
        <v>51</v>
      </c>
      <c r="B49" s="10"/>
      <c r="C49" s="10"/>
      <c r="D49" s="10"/>
      <c r="E49" s="11"/>
    </row>
    <row r="50" spans="1:5" ht="15.75" x14ac:dyDescent="0.25">
      <c r="A50" s="13" t="s">
        <v>52</v>
      </c>
      <c r="B50" s="10">
        <v>404621.25</v>
      </c>
      <c r="C50" s="10">
        <v>544572</v>
      </c>
      <c r="D50" s="10">
        <v>-139950.75</v>
      </c>
      <c r="E50" s="11">
        <v>0.74300781163923235</v>
      </c>
    </row>
    <row r="51" spans="1:5" ht="15" hidden="1" x14ac:dyDescent="0.2">
      <c r="A51" s="14" t="s">
        <v>53</v>
      </c>
      <c r="B51" s="15">
        <v>15766.69</v>
      </c>
      <c r="C51" s="15">
        <v>8700</v>
      </c>
      <c r="D51" s="15">
        <f t="shared" ref="D51:D74" si="4">(ROUND(B51,2)- ROUND(C51,2))</f>
        <v>7066.6900000000005</v>
      </c>
      <c r="E51" s="16">
        <f t="shared" ref="E51:E74" si="5">(IF((ROUND(C51,2) = 0),0,((100 * ROUND(B51,2)) / ROUND(C51,2))))/100</f>
        <v>1.8122632183908047</v>
      </c>
    </row>
    <row r="52" spans="1:5" ht="15" hidden="1" x14ac:dyDescent="0.2">
      <c r="A52" s="14" t="s">
        <v>54</v>
      </c>
      <c r="B52" s="15">
        <v>18788.97</v>
      </c>
      <c r="C52" s="15">
        <v>24092</v>
      </c>
      <c r="D52" s="15">
        <f t="shared" si="4"/>
        <v>-5303.0299999999988</v>
      </c>
      <c r="E52" s="16">
        <f t="shared" si="5"/>
        <v>0.779884193923294</v>
      </c>
    </row>
    <row r="53" spans="1:5" ht="15" hidden="1" x14ac:dyDescent="0.2">
      <c r="A53" s="14" t="s">
        <v>55</v>
      </c>
      <c r="B53" s="15">
        <v>13811.48</v>
      </c>
      <c r="C53" s="15">
        <v>16590</v>
      </c>
      <c r="D53" s="15">
        <f t="shared" si="4"/>
        <v>-2778.5200000000004</v>
      </c>
      <c r="E53" s="16">
        <f t="shared" si="5"/>
        <v>0.8325183845690175</v>
      </c>
    </row>
    <row r="54" spans="1:5" ht="15" hidden="1" x14ac:dyDescent="0.2">
      <c r="A54" s="14" t="s">
        <v>56</v>
      </c>
      <c r="B54" s="15">
        <v>9084.51</v>
      </c>
      <c r="C54" s="15">
        <v>10000</v>
      </c>
      <c r="D54" s="15">
        <f t="shared" si="4"/>
        <v>-915.48999999999978</v>
      </c>
      <c r="E54" s="16">
        <f t="shared" si="5"/>
        <v>0.90845100000000001</v>
      </c>
    </row>
    <row r="55" spans="1:5" ht="15" hidden="1" x14ac:dyDescent="0.2">
      <c r="A55" s="14" t="s">
        <v>57</v>
      </c>
      <c r="B55" s="15">
        <v>1596</v>
      </c>
      <c r="C55" s="15">
        <v>2800</v>
      </c>
      <c r="D55" s="15">
        <f t="shared" si="4"/>
        <v>-1204</v>
      </c>
      <c r="E55" s="16">
        <f t="shared" si="5"/>
        <v>0.56999999999999995</v>
      </c>
    </row>
    <row r="56" spans="1:5" ht="15" hidden="1" x14ac:dyDescent="0.2">
      <c r="A56" s="14" t="s">
        <v>58</v>
      </c>
      <c r="B56" s="15">
        <v>7572.76</v>
      </c>
      <c r="C56" s="15">
        <v>18000</v>
      </c>
      <c r="D56" s="15">
        <f t="shared" si="4"/>
        <v>-10427.24</v>
      </c>
      <c r="E56" s="16">
        <f t="shared" si="5"/>
        <v>0.42070888888888885</v>
      </c>
    </row>
    <row r="57" spans="1:5" ht="15" hidden="1" x14ac:dyDescent="0.2">
      <c r="A57" s="14" t="s">
        <v>59</v>
      </c>
      <c r="B57" s="15">
        <v>10844.64</v>
      </c>
      <c r="C57" s="15">
        <v>11000</v>
      </c>
      <c r="D57" s="15">
        <f t="shared" si="4"/>
        <v>-155.36000000000058</v>
      </c>
      <c r="E57" s="16">
        <f t="shared" si="5"/>
        <v>0.98587636363636366</v>
      </c>
    </row>
    <row r="58" spans="1:5" ht="15" hidden="1" x14ac:dyDescent="0.2">
      <c r="A58" s="14" t="s">
        <v>60</v>
      </c>
      <c r="B58" s="15">
        <v>3127.53</v>
      </c>
      <c r="C58" s="15">
        <v>8000</v>
      </c>
      <c r="D58" s="15">
        <f t="shared" si="4"/>
        <v>-4872.4699999999993</v>
      </c>
      <c r="E58" s="16">
        <f t="shared" si="5"/>
        <v>0.39094124999999996</v>
      </c>
    </row>
    <row r="59" spans="1:5" ht="15" hidden="1" x14ac:dyDescent="0.2">
      <c r="A59" s="14" t="s">
        <v>61</v>
      </c>
      <c r="B59" s="15">
        <v>0</v>
      </c>
      <c r="C59" s="15">
        <v>28050</v>
      </c>
      <c r="D59" s="15">
        <f t="shared" si="4"/>
        <v>-28050</v>
      </c>
      <c r="E59" s="16">
        <f t="shared" si="5"/>
        <v>0</v>
      </c>
    </row>
    <row r="60" spans="1:5" ht="15" hidden="1" x14ac:dyDescent="0.2">
      <c r="A60" s="14" t="s">
        <v>62</v>
      </c>
      <c r="B60" s="15">
        <v>7863.38</v>
      </c>
      <c r="C60" s="15">
        <v>10150</v>
      </c>
      <c r="D60" s="15">
        <f t="shared" si="4"/>
        <v>-2286.62</v>
      </c>
      <c r="E60" s="16">
        <f t="shared" si="5"/>
        <v>0.77471724137931031</v>
      </c>
    </row>
    <row r="61" spans="1:5" ht="15" hidden="1" x14ac:dyDescent="0.2">
      <c r="A61" s="14" t="s">
        <v>63</v>
      </c>
      <c r="B61" s="15">
        <v>3468.39</v>
      </c>
      <c r="C61" s="15">
        <v>5000</v>
      </c>
      <c r="D61" s="15">
        <f t="shared" si="4"/>
        <v>-1531.6100000000001</v>
      </c>
      <c r="E61" s="16">
        <f t="shared" si="5"/>
        <v>0.69367800000000002</v>
      </c>
    </row>
    <row r="62" spans="1:5" ht="15" hidden="1" x14ac:dyDescent="0.2">
      <c r="A62" s="14" t="s">
        <v>64</v>
      </c>
      <c r="B62" s="15">
        <v>78799.53</v>
      </c>
      <c r="C62" s="15">
        <v>102000</v>
      </c>
      <c r="D62" s="15">
        <f t="shared" si="4"/>
        <v>-23200.47</v>
      </c>
      <c r="E62" s="16">
        <f t="shared" si="5"/>
        <v>0.7725444117647059</v>
      </c>
    </row>
    <row r="63" spans="1:5" ht="15" hidden="1" x14ac:dyDescent="0.2">
      <c r="A63" s="14" t="s">
        <v>65</v>
      </c>
      <c r="B63" s="15">
        <v>653.88</v>
      </c>
      <c r="C63" s="15">
        <v>3320</v>
      </c>
      <c r="D63" s="15">
        <f t="shared" si="4"/>
        <v>-2666.12</v>
      </c>
      <c r="E63" s="16">
        <f t="shared" si="5"/>
        <v>0.19695180722891567</v>
      </c>
    </row>
    <row r="64" spans="1:5" ht="15" hidden="1" x14ac:dyDescent="0.2">
      <c r="A64" s="14" t="s">
        <v>66</v>
      </c>
      <c r="B64" s="15">
        <v>69920.55</v>
      </c>
      <c r="C64" s="15">
        <v>63800</v>
      </c>
      <c r="D64" s="15">
        <f t="shared" si="4"/>
        <v>6120.5500000000029</v>
      </c>
      <c r="E64" s="16">
        <f t="shared" si="5"/>
        <v>1.0959333855799374</v>
      </c>
    </row>
    <row r="65" spans="1:5" ht="15" hidden="1" x14ac:dyDescent="0.2">
      <c r="A65" s="14" t="s">
        <v>67</v>
      </c>
      <c r="B65" s="15">
        <v>209</v>
      </c>
      <c r="C65" s="15">
        <v>7000</v>
      </c>
      <c r="D65" s="15">
        <f t="shared" si="4"/>
        <v>-6791</v>
      </c>
      <c r="E65" s="16">
        <f t="shared" si="5"/>
        <v>2.9857142857142856E-2</v>
      </c>
    </row>
    <row r="66" spans="1:5" ht="15" hidden="1" x14ac:dyDescent="0.2">
      <c r="A66" s="14" t="s">
        <v>68</v>
      </c>
      <c r="B66" s="15">
        <v>9997.5300000000007</v>
      </c>
      <c r="C66" s="15">
        <v>20250</v>
      </c>
      <c r="D66" s="15">
        <f t="shared" si="4"/>
        <v>-10252.469999999999</v>
      </c>
      <c r="E66" s="16">
        <f t="shared" si="5"/>
        <v>0.49370518518518525</v>
      </c>
    </row>
    <row r="67" spans="1:5" ht="15" hidden="1" x14ac:dyDescent="0.2">
      <c r="A67" s="14" t="s">
        <v>69</v>
      </c>
      <c r="B67" s="15">
        <v>60078.46</v>
      </c>
      <c r="C67" s="15">
        <v>94660</v>
      </c>
      <c r="D67" s="15">
        <f t="shared" si="4"/>
        <v>-34581.54</v>
      </c>
      <c r="E67" s="16">
        <f t="shared" si="5"/>
        <v>0.63467631523346713</v>
      </c>
    </row>
    <row r="68" spans="1:5" ht="15" hidden="1" x14ac:dyDescent="0.2">
      <c r="A68" s="14" t="s">
        <v>70</v>
      </c>
      <c r="B68" s="15">
        <v>48321.78</v>
      </c>
      <c r="C68" s="15">
        <v>42000</v>
      </c>
      <c r="D68" s="15">
        <f t="shared" si="4"/>
        <v>6321.7799999999988</v>
      </c>
      <c r="E68" s="16">
        <f t="shared" si="5"/>
        <v>1.1505185714285715</v>
      </c>
    </row>
    <row r="69" spans="1:5" ht="15" hidden="1" x14ac:dyDescent="0.2">
      <c r="A69" s="14" t="s">
        <v>71</v>
      </c>
      <c r="B69" s="15">
        <v>6089.01</v>
      </c>
      <c r="C69" s="15">
        <v>14200</v>
      </c>
      <c r="D69" s="15">
        <f t="shared" si="4"/>
        <v>-8110.99</v>
      </c>
      <c r="E69" s="16">
        <f t="shared" si="5"/>
        <v>0.42880352112676057</v>
      </c>
    </row>
    <row r="70" spans="1:5" ht="15" hidden="1" x14ac:dyDescent="0.2">
      <c r="A70" s="14" t="s">
        <v>72</v>
      </c>
      <c r="B70" s="15">
        <v>31777.84</v>
      </c>
      <c r="C70" s="15">
        <v>43500</v>
      </c>
      <c r="D70" s="15">
        <f t="shared" si="4"/>
        <v>-11722.16</v>
      </c>
      <c r="E70" s="16">
        <f t="shared" si="5"/>
        <v>0.73052505747126428</v>
      </c>
    </row>
    <row r="71" spans="1:5" ht="15" hidden="1" x14ac:dyDescent="0.2">
      <c r="A71" s="14" t="s">
        <v>73</v>
      </c>
      <c r="B71" s="15">
        <v>3222.43</v>
      </c>
      <c r="C71" s="15">
        <v>5000</v>
      </c>
      <c r="D71" s="15">
        <f t="shared" si="4"/>
        <v>-1777.5700000000002</v>
      </c>
      <c r="E71" s="16">
        <f t="shared" si="5"/>
        <v>0.644486</v>
      </c>
    </row>
    <row r="72" spans="1:5" ht="15" hidden="1" x14ac:dyDescent="0.2">
      <c r="A72" s="14" t="s">
        <v>74</v>
      </c>
      <c r="B72" s="15">
        <v>0</v>
      </c>
      <c r="C72" s="15">
        <v>1460</v>
      </c>
      <c r="D72" s="15">
        <f t="shared" si="4"/>
        <v>-1460</v>
      </c>
      <c r="E72" s="16">
        <f t="shared" si="5"/>
        <v>0</v>
      </c>
    </row>
    <row r="73" spans="1:5" ht="15" hidden="1" x14ac:dyDescent="0.2">
      <c r="A73" s="14" t="s">
        <v>75</v>
      </c>
      <c r="B73" s="15">
        <v>3626.89</v>
      </c>
      <c r="C73" s="15">
        <v>5000</v>
      </c>
      <c r="D73" s="15">
        <f t="shared" si="4"/>
        <v>-1373.1100000000001</v>
      </c>
      <c r="E73" s="16">
        <f t="shared" si="5"/>
        <v>0.72537800000000008</v>
      </c>
    </row>
    <row r="74" spans="1:5" ht="15.75" hidden="1" x14ac:dyDescent="0.25">
      <c r="A74" s="17" t="s">
        <v>76</v>
      </c>
      <c r="B74" s="18">
        <f>SUM(B51:B73)</f>
        <v>404621.25</v>
      </c>
      <c r="C74" s="18">
        <f>SUM(C51:C73)</f>
        <v>544572</v>
      </c>
      <c r="D74" s="18">
        <f t="shared" si="4"/>
        <v>-139950.75</v>
      </c>
      <c r="E74" s="19">
        <f t="shared" si="5"/>
        <v>0.74300781163923235</v>
      </c>
    </row>
    <row r="75" spans="1:5" ht="15.75" x14ac:dyDescent="0.25">
      <c r="A75" s="13" t="s">
        <v>77</v>
      </c>
      <c r="B75" s="10">
        <v>1835463.31</v>
      </c>
      <c r="C75" s="10">
        <v>5500000</v>
      </c>
      <c r="D75" s="10">
        <v>-3664536.69</v>
      </c>
      <c r="E75" s="11">
        <v>0.33372060181818186</v>
      </c>
    </row>
    <row r="76" spans="1:5" ht="15" hidden="1" x14ac:dyDescent="0.2">
      <c r="A76" s="14" t="s">
        <v>78</v>
      </c>
      <c r="B76" s="15">
        <v>1835463.31</v>
      </c>
      <c r="C76" s="15">
        <v>5500000</v>
      </c>
      <c r="D76" s="15">
        <f>(ROUND(B76,2)- ROUND(C76,2))</f>
        <v>-3664536.69</v>
      </c>
      <c r="E76" s="16">
        <f>(IF((ROUND(C76,2) = 0),0,((100 * ROUND(B76,2)) / ROUND(C76,2))))/100</f>
        <v>0.33372060181818186</v>
      </c>
    </row>
    <row r="77" spans="1:5" ht="15.75" hidden="1" x14ac:dyDescent="0.25">
      <c r="A77" s="17" t="s">
        <v>79</v>
      </c>
      <c r="B77" s="18">
        <f>SUM(B76)</f>
        <v>1835463.31</v>
      </c>
      <c r="C77" s="18">
        <f>SUM(C76)</f>
        <v>5500000</v>
      </c>
      <c r="D77" s="18">
        <f>(ROUND(B77,2)- ROUND(C77,2))</f>
        <v>-3664536.69</v>
      </c>
      <c r="E77" s="19">
        <f>(IF((ROUND(C77,2) = 0),0,((100 * ROUND(B77,2)) / ROUND(C77,2))))/100</f>
        <v>0.33372060181818186</v>
      </c>
    </row>
    <row r="78" spans="1:5" ht="15.75" x14ac:dyDescent="0.25">
      <c r="A78" s="13" t="s">
        <v>193</v>
      </c>
      <c r="B78" s="10">
        <v>3451282.07</v>
      </c>
      <c r="C78" s="10">
        <v>1588500</v>
      </c>
      <c r="D78" s="10">
        <v>1862782.0699999998</v>
      </c>
      <c r="E78" s="11">
        <v>2.1726673402581049</v>
      </c>
    </row>
    <row r="79" spans="1:5" ht="15" hidden="1" x14ac:dyDescent="0.2">
      <c r="A79" s="14" t="s">
        <v>80</v>
      </c>
      <c r="B79" s="15">
        <v>3451282.07</v>
      </c>
      <c r="C79" s="15">
        <v>1588500</v>
      </c>
      <c r="D79" s="15">
        <f>(ROUND(B79,2)- ROUND(C79,2))</f>
        <v>1862782.0699999998</v>
      </c>
      <c r="E79" s="16">
        <f>(IF((ROUND(C79,2) = 0),0,((100 * ROUND(B79,2)) / ROUND(C79,2))))/100</f>
        <v>2.1726673402581049</v>
      </c>
    </row>
    <row r="80" spans="1:5" ht="15.75" hidden="1" x14ac:dyDescent="0.25">
      <c r="A80" s="17" t="s">
        <v>81</v>
      </c>
      <c r="B80" s="18">
        <f>SUM(B79)</f>
        <v>3451282.07</v>
      </c>
      <c r="C80" s="18">
        <f>SUM(C79)</f>
        <v>1588500</v>
      </c>
      <c r="D80" s="18">
        <f>(ROUND(B80,2)- ROUND(C80,2))</f>
        <v>1862782.0699999998</v>
      </c>
      <c r="E80" s="19">
        <f>(IF((ROUND(C80,2) = 0),0,((100 * ROUND(B80,2)) / ROUND(C80,2))))/100</f>
        <v>2.1726673402581049</v>
      </c>
    </row>
    <row r="81" spans="1:5" ht="15.75" x14ac:dyDescent="0.25">
      <c r="A81" s="13" t="s">
        <v>82</v>
      </c>
      <c r="B81" s="10">
        <v>123874.38</v>
      </c>
      <c r="C81" s="10">
        <v>141366.69</v>
      </c>
      <c r="D81" s="10">
        <v>-17492.309999999998</v>
      </c>
      <c r="E81" s="11">
        <v>0.87626285937656179</v>
      </c>
    </row>
    <row r="82" spans="1:5" ht="15" hidden="1" x14ac:dyDescent="0.2">
      <c r="A82" s="14" t="s">
        <v>83</v>
      </c>
      <c r="B82" s="15">
        <v>6334.24</v>
      </c>
      <c r="C82" s="15">
        <v>7000</v>
      </c>
      <c r="D82" s="15">
        <f t="shared" ref="D82:D88" si="6">(ROUND(B82,2)- ROUND(C82,2))</f>
        <v>-665.76000000000022</v>
      </c>
      <c r="E82" s="16">
        <f t="shared" ref="E82:E88" si="7">(IF((ROUND(C82,2) = 0),0,((100 * ROUND(B82,2)) / ROUND(C82,2))))/100</f>
        <v>0.90489142857142857</v>
      </c>
    </row>
    <row r="83" spans="1:5" ht="15" hidden="1" x14ac:dyDescent="0.2">
      <c r="A83" s="14" t="s">
        <v>84</v>
      </c>
      <c r="B83" s="15">
        <v>68933.37</v>
      </c>
      <c r="C83" s="15">
        <v>75450.8</v>
      </c>
      <c r="D83" s="15">
        <f t="shared" si="6"/>
        <v>-6517.4300000000076</v>
      </c>
      <c r="E83" s="16">
        <f t="shared" si="7"/>
        <v>0.91362013391508101</v>
      </c>
    </row>
    <row r="84" spans="1:5" ht="15" hidden="1" x14ac:dyDescent="0.2">
      <c r="A84" s="14" t="s">
        <v>85</v>
      </c>
      <c r="B84" s="15">
        <v>14746.97</v>
      </c>
      <c r="C84" s="15">
        <v>18100</v>
      </c>
      <c r="D84" s="15">
        <f t="shared" si="6"/>
        <v>-3353.0300000000007</v>
      </c>
      <c r="E84" s="16">
        <f t="shared" si="7"/>
        <v>0.81474972375690613</v>
      </c>
    </row>
    <row r="85" spans="1:5" ht="15" hidden="1" x14ac:dyDescent="0.2">
      <c r="A85" s="14" t="s">
        <v>86</v>
      </c>
      <c r="B85" s="15">
        <v>19387.39</v>
      </c>
      <c r="C85" s="15">
        <v>22606.06</v>
      </c>
      <c r="D85" s="15">
        <f t="shared" si="6"/>
        <v>-3218.6700000000019</v>
      </c>
      <c r="E85" s="16">
        <f t="shared" si="7"/>
        <v>0.85761915167879765</v>
      </c>
    </row>
    <row r="86" spans="1:5" ht="15" hidden="1" x14ac:dyDescent="0.2">
      <c r="A86" s="14" t="s">
        <v>87</v>
      </c>
      <c r="B86" s="15">
        <v>0</v>
      </c>
      <c r="C86" s="15">
        <v>3125</v>
      </c>
      <c r="D86" s="15">
        <f t="shared" si="6"/>
        <v>-3125</v>
      </c>
      <c r="E86" s="16">
        <f t="shared" si="7"/>
        <v>0</v>
      </c>
    </row>
    <row r="87" spans="1:5" ht="15" hidden="1" x14ac:dyDescent="0.2">
      <c r="A87" s="14" t="s">
        <v>88</v>
      </c>
      <c r="B87" s="15">
        <v>14472.41</v>
      </c>
      <c r="C87" s="15">
        <v>15084.83</v>
      </c>
      <c r="D87" s="15">
        <f t="shared" si="6"/>
        <v>-612.42000000000007</v>
      </c>
      <c r="E87" s="16">
        <f t="shared" si="7"/>
        <v>0.95940159749894438</v>
      </c>
    </row>
    <row r="88" spans="1:5" ht="15.75" hidden="1" x14ac:dyDescent="0.25">
      <c r="A88" s="17" t="s">
        <v>89</v>
      </c>
      <c r="B88" s="18">
        <f>SUM(B82:B87)</f>
        <v>123874.38</v>
      </c>
      <c r="C88" s="18">
        <f>SUM(C82:C87)</f>
        <v>141366.69</v>
      </c>
      <c r="D88" s="18">
        <f t="shared" si="6"/>
        <v>-17492.309999999998</v>
      </c>
      <c r="E88" s="19">
        <f t="shared" si="7"/>
        <v>0.87626285937656179</v>
      </c>
    </row>
    <row r="89" spans="1:5" ht="15.75" x14ac:dyDescent="0.25">
      <c r="A89" s="13" t="s">
        <v>192</v>
      </c>
      <c r="B89" s="10">
        <v>1021409.46</v>
      </c>
      <c r="C89" s="10">
        <v>102820</v>
      </c>
      <c r="D89" s="10">
        <v>918589.46</v>
      </c>
      <c r="E89" s="11">
        <v>9.9339570122544245</v>
      </c>
    </row>
    <row r="90" spans="1:5" ht="15" hidden="1" x14ac:dyDescent="0.2">
      <c r="A90" s="14" t="s">
        <v>90</v>
      </c>
      <c r="B90" s="15">
        <v>1021409.46</v>
      </c>
      <c r="C90" s="15">
        <v>102820</v>
      </c>
      <c r="D90" s="15">
        <f>(ROUND(B90,2)- ROUND(C90,2))</f>
        <v>918589.46</v>
      </c>
      <c r="E90" s="16">
        <f>(IF((ROUND(C90,2) = 0),0,((100 * ROUND(B90,2)) / ROUND(C90,2))))/100</f>
        <v>9.9339570122544245</v>
      </c>
    </row>
    <row r="91" spans="1:5" ht="15.75" hidden="1" x14ac:dyDescent="0.25">
      <c r="A91" s="17" t="s">
        <v>91</v>
      </c>
      <c r="B91" s="18">
        <f>SUM(B90)</f>
        <v>1021409.46</v>
      </c>
      <c r="C91" s="18">
        <f>SUM(C90)</f>
        <v>102820</v>
      </c>
      <c r="D91" s="18">
        <f>(ROUND(B91,2)- ROUND(C91,2))</f>
        <v>918589.46</v>
      </c>
      <c r="E91" s="19">
        <f>(IF((ROUND(C91,2) = 0),0,((100 * ROUND(B91,2)) / ROUND(C91,2))))/100</f>
        <v>9.9339570122544245</v>
      </c>
    </row>
    <row r="92" spans="1:5" ht="15.75" x14ac:dyDescent="0.25">
      <c r="A92" s="13" t="s">
        <v>92</v>
      </c>
      <c r="B92" s="10">
        <v>1521873.4700000002</v>
      </c>
      <c r="C92" s="10">
        <v>2316500</v>
      </c>
      <c r="D92" s="10">
        <v>-794626.53</v>
      </c>
      <c r="E92" s="11">
        <v>0.65697106410533135</v>
      </c>
    </row>
    <row r="93" spans="1:5" ht="15" hidden="1" x14ac:dyDescent="0.2">
      <c r="A93" s="14" t="s">
        <v>93</v>
      </c>
      <c r="B93" s="15">
        <v>1465</v>
      </c>
      <c r="C93" s="15">
        <v>2500</v>
      </c>
      <c r="D93" s="15">
        <f t="shared" ref="D93:D105" si="8">(ROUND(B93,2)- ROUND(C93,2))</f>
        <v>-1035</v>
      </c>
      <c r="E93" s="16">
        <f t="shared" ref="E93:E105" si="9">(IF((ROUND(C93,2) = 0),0,((100 * ROUND(B93,2)) / ROUND(C93,2))))/100</f>
        <v>0.58599999999999997</v>
      </c>
    </row>
    <row r="94" spans="1:5" ht="15" hidden="1" x14ac:dyDescent="0.2">
      <c r="A94" s="14" t="s">
        <v>94</v>
      </c>
      <c r="B94" s="15">
        <v>545501.48</v>
      </c>
      <c r="C94" s="15">
        <v>775000</v>
      </c>
      <c r="D94" s="15">
        <f t="shared" si="8"/>
        <v>-229498.52000000002</v>
      </c>
      <c r="E94" s="16">
        <f t="shared" si="9"/>
        <v>0.70387287741935478</v>
      </c>
    </row>
    <row r="95" spans="1:5" ht="15" hidden="1" x14ac:dyDescent="0.2">
      <c r="A95" s="14" t="s">
        <v>95</v>
      </c>
      <c r="B95" s="15">
        <v>80715.199999999997</v>
      </c>
      <c r="C95" s="15">
        <v>125000</v>
      </c>
      <c r="D95" s="15">
        <f t="shared" si="8"/>
        <v>-44284.800000000003</v>
      </c>
      <c r="E95" s="16">
        <f t="shared" si="9"/>
        <v>0.64572160000000001</v>
      </c>
    </row>
    <row r="96" spans="1:5" ht="15" hidden="1" x14ac:dyDescent="0.2">
      <c r="A96" s="14" t="s">
        <v>96</v>
      </c>
      <c r="B96" s="15">
        <v>154706.22</v>
      </c>
      <c r="C96" s="15">
        <v>200000</v>
      </c>
      <c r="D96" s="15">
        <f t="shared" si="8"/>
        <v>-45293.78</v>
      </c>
      <c r="E96" s="16">
        <f t="shared" si="9"/>
        <v>0.77353110000000003</v>
      </c>
    </row>
    <row r="97" spans="1:5" ht="15" hidden="1" x14ac:dyDescent="0.2">
      <c r="A97" s="14" t="s">
        <v>97</v>
      </c>
      <c r="B97" s="15">
        <v>15677.74</v>
      </c>
      <c r="C97" s="15">
        <v>100000</v>
      </c>
      <c r="D97" s="15">
        <f t="shared" si="8"/>
        <v>-84322.26</v>
      </c>
      <c r="E97" s="16">
        <f t="shared" si="9"/>
        <v>0.15677740000000001</v>
      </c>
    </row>
    <row r="98" spans="1:5" ht="15" hidden="1" x14ac:dyDescent="0.2">
      <c r="A98" s="14" t="s">
        <v>98</v>
      </c>
      <c r="B98" s="15">
        <v>12908.76</v>
      </c>
      <c r="C98" s="15">
        <v>25000</v>
      </c>
      <c r="D98" s="15">
        <f t="shared" si="8"/>
        <v>-12091.24</v>
      </c>
      <c r="E98" s="16">
        <f t="shared" si="9"/>
        <v>0.51635039999999999</v>
      </c>
    </row>
    <row r="99" spans="1:5" ht="15" hidden="1" x14ac:dyDescent="0.2">
      <c r="A99" s="14" t="s">
        <v>99</v>
      </c>
      <c r="B99" s="15">
        <v>19061.14</v>
      </c>
      <c r="C99" s="15">
        <v>45000</v>
      </c>
      <c r="D99" s="15">
        <f t="shared" si="8"/>
        <v>-25938.86</v>
      </c>
      <c r="E99" s="16">
        <f t="shared" si="9"/>
        <v>0.42358088888888884</v>
      </c>
    </row>
    <row r="100" spans="1:5" ht="15" hidden="1" x14ac:dyDescent="0.2">
      <c r="A100" s="14" t="s">
        <v>100</v>
      </c>
      <c r="B100" s="15">
        <v>12944.32</v>
      </c>
      <c r="C100" s="15">
        <v>27000</v>
      </c>
      <c r="D100" s="15">
        <f t="shared" si="8"/>
        <v>-14055.68</v>
      </c>
      <c r="E100" s="16">
        <f t="shared" si="9"/>
        <v>0.47941925925925927</v>
      </c>
    </row>
    <row r="101" spans="1:5" ht="15" hidden="1" x14ac:dyDescent="0.2">
      <c r="A101" s="14" t="s">
        <v>101</v>
      </c>
      <c r="B101" s="15">
        <v>150.38</v>
      </c>
      <c r="C101" s="15">
        <v>12000</v>
      </c>
      <c r="D101" s="15">
        <f t="shared" si="8"/>
        <v>-11849.62</v>
      </c>
      <c r="E101" s="16">
        <f t="shared" si="9"/>
        <v>1.2531666666666668E-2</v>
      </c>
    </row>
    <row r="102" spans="1:5" ht="15" hidden="1" x14ac:dyDescent="0.2">
      <c r="A102" s="14" t="s">
        <v>102</v>
      </c>
      <c r="B102" s="15">
        <v>365174.01</v>
      </c>
      <c r="C102" s="15">
        <v>475000</v>
      </c>
      <c r="D102" s="15">
        <f t="shared" si="8"/>
        <v>-109825.98999999999</v>
      </c>
      <c r="E102" s="16">
        <f t="shared" si="9"/>
        <v>0.76878738947368419</v>
      </c>
    </row>
    <row r="103" spans="1:5" ht="15" hidden="1" x14ac:dyDescent="0.2">
      <c r="A103" s="14" t="s">
        <v>103</v>
      </c>
      <c r="B103" s="15">
        <v>203810.09</v>
      </c>
      <c r="C103" s="15">
        <v>370000</v>
      </c>
      <c r="D103" s="15">
        <f t="shared" si="8"/>
        <v>-166189.91</v>
      </c>
      <c r="E103" s="16">
        <f t="shared" si="9"/>
        <v>0.55083808108108112</v>
      </c>
    </row>
    <row r="104" spans="1:5" ht="15" hidden="1" x14ac:dyDescent="0.2">
      <c r="A104" s="14" t="s">
        <v>104</v>
      </c>
      <c r="B104" s="15">
        <v>109759.13</v>
      </c>
      <c r="C104" s="15">
        <v>160000</v>
      </c>
      <c r="D104" s="15">
        <f t="shared" si="8"/>
        <v>-50240.869999999995</v>
      </c>
      <c r="E104" s="16">
        <f t="shared" si="9"/>
        <v>0.68599456250000002</v>
      </c>
    </row>
    <row r="105" spans="1:5" ht="15.75" hidden="1" x14ac:dyDescent="0.25">
      <c r="A105" s="17" t="s">
        <v>105</v>
      </c>
      <c r="B105" s="18">
        <f>SUM(B93:B104)</f>
        <v>1521873.4700000002</v>
      </c>
      <c r="C105" s="18">
        <f>SUM(C93:C104)</f>
        <v>2316500</v>
      </c>
      <c r="D105" s="18">
        <f t="shared" si="8"/>
        <v>-794626.53</v>
      </c>
      <c r="E105" s="19">
        <f t="shared" si="9"/>
        <v>0.65697106410533135</v>
      </c>
    </row>
    <row r="106" spans="1:5" ht="15.75" x14ac:dyDescent="0.25">
      <c r="A106" s="13" t="s">
        <v>106</v>
      </c>
      <c r="B106" s="10">
        <v>132143.62</v>
      </c>
      <c r="C106" s="10">
        <v>48000</v>
      </c>
      <c r="D106" s="10">
        <v>84143.62</v>
      </c>
      <c r="E106" s="11">
        <v>2.7529920833333335</v>
      </c>
    </row>
    <row r="107" spans="1:5" ht="15" hidden="1" x14ac:dyDescent="0.2">
      <c r="A107" s="14" t="s">
        <v>107</v>
      </c>
      <c r="B107" s="15">
        <v>13848.03</v>
      </c>
      <c r="C107" s="15">
        <v>30000</v>
      </c>
      <c r="D107" s="15">
        <f>(ROUND(B107,2)- ROUND(C107,2))</f>
        <v>-16151.97</v>
      </c>
      <c r="E107" s="16">
        <f>(IF((ROUND(C107,2) = 0),0,((100 * ROUND(B107,2)) / ROUND(C107,2))))/100</f>
        <v>0.46160099999999998</v>
      </c>
    </row>
    <row r="108" spans="1:5" ht="15" hidden="1" x14ac:dyDescent="0.2">
      <c r="A108" s="14" t="s">
        <v>108</v>
      </c>
      <c r="B108" s="15">
        <v>8218.86</v>
      </c>
      <c r="C108" s="15">
        <v>18000</v>
      </c>
      <c r="D108" s="15">
        <f>(ROUND(B108,2)- ROUND(C108,2))</f>
        <v>-9781.14</v>
      </c>
      <c r="E108" s="16">
        <f>(IF((ROUND(C108,2) = 0),0,((100 * ROUND(B108,2)) / ROUND(C108,2))))/100</f>
        <v>0.45660333333333336</v>
      </c>
    </row>
    <row r="109" spans="1:5" ht="15" hidden="1" x14ac:dyDescent="0.2">
      <c r="A109" s="14" t="s">
        <v>109</v>
      </c>
      <c r="B109" s="15">
        <v>110076.73</v>
      </c>
      <c r="C109" s="15">
        <v>0</v>
      </c>
      <c r="D109" s="15">
        <f>(ROUND(B109,2)- ROUND(C109,2))</f>
        <v>110076.73</v>
      </c>
      <c r="E109" s="16">
        <f>(IF((ROUND(C109,2) = 0),0,((100 * ROUND(B109,2)) / ROUND(C109,2))))/100</f>
        <v>0</v>
      </c>
    </row>
    <row r="110" spans="1:5" ht="15.75" hidden="1" x14ac:dyDescent="0.25">
      <c r="A110" s="17" t="s">
        <v>110</v>
      </c>
      <c r="B110" s="18">
        <f>SUM(B107:B109)</f>
        <v>132143.62</v>
      </c>
      <c r="C110" s="18">
        <f>SUM(C107:C109)</f>
        <v>48000</v>
      </c>
      <c r="D110" s="18">
        <f>(ROUND(B110,2)- ROUND(C110,2))</f>
        <v>84143.62</v>
      </c>
      <c r="E110" s="19">
        <f>(IF((ROUND(C110,2) = 0),0,((100 * ROUND(B110,2)) / ROUND(C110,2))))/100</f>
        <v>2.7529920833333335</v>
      </c>
    </row>
    <row r="111" spans="1:5" ht="15.75" x14ac:dyDescent="0.25">
      <c r="A111" s="13" t="s">
        <v>111</v>
      </c>
      <c r="B111" s="10">
        <v>5426557.3500000006</v>
      </c>
      <c r="C111" s="10">
        <v>7916423</v>
      </c>
      <c r="D111" s="10">
        <v>-2489865.6500000004</v>
      </c>
      <c r="E111" s="11">
        <v>0.68548097417229981</v>
      </c>
    </row>
    <row r="112" spans="1:5" ht="15.75" hidden="1" x14ac:dyDescent="0.25">
      <c r="A112" s="30" t="s">
        <v>112</v>
      </c>
      <c r="B112" s="10"/>
      <c r="C112" s="10"/>
      <c r="D112" s="10"/>
      <c r="E112" s="11"/>
    </row>
    <row r="113" spans="1:5" ht="15.75" hidden="1" x14ac:dyDescent="0.25">
      <c r="A113" s="31" t="s">
        <v>113</v>
      </c>
      <c r="B113" s="10"/>
      <c r="C113" s="10"/>
      <c r="D113" s="10"/>
      <c r="E113" s="11"/>
    </row>
    <row r="114" spans="1:5" ht="15" hidden="1" x14ac:dyDescent="0.2">
      <c r="A114" s="32" t="s">
        <v>114</v>
      </c>
      <c r="B114" s="15">
        <v>55239.88</v>
      </c>
      <c r="C114" s="15">
        <v>98800</v>
      </c>
      <c r="D114" s="15">
        <f t="shared" ref="D114:D127" si="10">(ROUND(B114,2)- ROUND(C114,2))</f>
        <v>-43560.12</v>
      </c>
      <c r="E114" s="16">
        <f t="shared" ref="E114:E127" si="11">(IF((ROUND(C114,2) = 0),0,((100 * ROUND(B114,2)) / ROUND(C114,2))))/100</f>
        <v>0.55910809716599186</v>
      </c>
    </row>
    <row r="115" spans="1:5" ht="15" hidden="1" x14ac:dyDescent="0.2">
      <c r="A115" s="32" t="s">
        <v>115</v>
      </c>
      <c r="B115" s="15">
        <v>123257.9</v>
      </c>
      <c r="C115" s="15">
        <v>176886</v>
      </c>
      <c r="D115" s="15">
        <f t="shared" si="10"/>
        <v>-53628.100000000006</v>
      </c>
      <c r="E115" s="16">
        <f t="shared" si="11"/>
        <v>0.69682111642526823</v>
      </c>
    </row>
    <row r="116" spans="1:5" ht="15" hidden="1" x14ac:dyDescent="0.2">
      <c r="A116" s="32" t="s">
        <v>116</v>
      </c>
      <c r="B116" s="15">
        <v>231863.69</v>
      </c>
      <c r="C116" s="15">
        <v>339774</v>
      </c>
      <c r="D116" s="15">
        <f t="shared" si="10"/>
        <v>-107910.31</v>
      </c>
      <c r="E116" s="16">
        <f t="shared" si="11"/>
        <v>0.68240562844714436</v>
      </c>
    </row>
    <row r="117" spans="1:5" ht="15" hidden="1" x14ac:dyDescent="0.2">
      <c r="A117" s="32" t="s">
        <v>117</v>
      </c>
      <c r="B117" s="15">
        <v>96597.09</v>
      </c>
      <c r="C117" s="15">
        <v>124228</v>
      </c>
      <c r="D117" s="15">
        <f t="shared" si="10"/>
        <v>-27630.910000000003</v>
      </c>
      <c r="E117" s="16">
        <f t="shared" si="11"/>
        <v>0.77757904820169377</v>
      </c>
    </row>
    <row r="118" spans="1:5" ht="15" hidden="1" x14ac:dyDescent="0.2">
      <c r="A118" s="32" t="s">
        <v>118</v>
      </c>
      <c r="B118" s="15">
        <v>267799.69</v>
      </c>
      <c r="C118" s="15">
        <v>292366</v>
      </c>
      <c r="D118" s="15">
        <f t="shared" si="10"/>
        <v>-24566.309999999998</v>
      </c>
      <c r="E118" s="16">
        <f t="shared" si="11"/>
        <v>0.91597412147787372</v>
      </c>
    </row>
    <row r="119" spans="1:5" ht="15" hidden="1" x14ac:dyDescent="0.2">
      <c r="A119" s="32" t="s">
        <v>119</v>
      </c>
      <c r="B119" s="15">
        <v>22613.62</v>
      </c>
      <c r="C119" s="15">
        <v>42440</v>
      </c>
      <c r="D119" s="15">
        <f t="shared" si="10"/>
        <v>-19826.38</v>
      </c>
      <c r="E119" s="16">
        <f t="shared" si="11"/>
        <v>0.53283741753063152</v>
      </c>
    </row>
    <row r="120" spans="1:5" ht="15" hidden="1" x14ac:dyDescent="0.2">
      <c r="A120" s="32" t="s">
        <v>120</v>
      </c>
      <c r="B120" s="15">
        <v>0</v>
      </c>
      <c r="C120" s="15">
        <v>123499</v>
      </c>
      <c r="D120" s="15">
        <f t="shared" si="10"/>
        <v>-123499</v>
      </c>
      <c r="E120" s="16">
        <f t="shared" si="11"/>
        <v>0</v>
      </c>
    </row>
    <row r="121" spans="1:5" ht="15.75" hidden="1" x14ac:dyDescent="0.25">
      <c r="A121" s="33" t="s">
        <v>121</v>
      </c>
      <c r="B121" s="18">
        <f>SUM(B114:B120)</f>
        <v>797371.87</v>
      </c>
      <c r="C121" s="18">
        <f>SUM(C114:C120)</f>
        <v>1197993</v>
      </c>
      <c r="D121" s="18">
        <f t="shared" si="10"/>
        <v>-400621.13</v>
      </c>
      <c r="E121" s="19">
        <f t="shared" si="11"/>
        <v>0.665589757202254</v>
      </c>
    </row>
    <row r="122" spans="1:5" ht="15" hidden="1" x14ac:dyDescent="0.2">
      <c r="A122" s="34" t="s">
        <v>122</v>
      </c>
      <c r="B122" s="15">
        <v>28426.880000000001</v>
      </c>
      <c r="C122" s="15">
        <v>34955</v>
      </c>
      <c r="D122" s="15">
        <f t="shared" si="10"/>
        <v>-6528.119999999999</v>
      </c>
      <c r="E122" s="16">
        <f t="shared" si="11"/>
        <v>0.81324216850236009</v>
      </c>
    </row>
    <row r="123" spans="1:5" ht="15" hidden="1" x14ac:dyDescent="0.2">
      <c r="A123" s="34" t="s">
        <v>123</v>
      </c>
      <c r="B123" s="15">
        <v>615938.43000000005</v>
      </c>
      <c r="C123" s="15">
        <v>733310</v>
      </c>
      <c r="D123" s="15">
        <f t="shared" si="10"/>
        <v>-117371.56999999995</v>
      </c>
      <c r="E123" s="16">
        <f t="shared" si="11"/>
        <v>0.83994276636074805</v>
      </c>
    </row>
    <row r="124" spans="1:5" ht="15" hidden="1" x14ac:dyDescent="0.2">
      <c r="A124" s="34" t="s">
        <v>124</v>
      </c>
      <c r="B124" s="15">
        <v>25738.41</v>
      </c>
      <c r="C124" s="15">
        <v>67942</v>
      </c>
      <c r="D124" s="15">
        <f t="shared" si="10"/>
        <v>-42203.59</v>
      </c>
      <c r="E124" s="16">
        <f t="shared" si="11"/>
        <v>0.37882914839127496</v>
      </c>
    </row>
    <row r="125" spans="1:5" ht="15" hidden="1" x14ac:dyDescent="0.2">
      <c r="A125" s="34" t="s">
        <v>125</v>
      </c>
      <c r="B125" s="15">
        <v>2123.31</v>
      </c>
      <c r="C125" s="15">
        <v>1419</v>
      </c>
      <c r="D125" s="15">
        <f t="shared" si="10"/>
        <v>704.31</v>
      </c>
      <c r="E125" s="16">
        <f t="shared" si="11"/>
        <v>1.4963424947145878</v>
      </c>
    </row>
    <row r="126" spans="1:5" ht="15" hidden="1" x14ac:dyDescent="0.2">
      <c r="A126" s="34" t="s">
        <v>126</v>
      </c>
      <c r="B126" s="15">
        <v>16947.96</v>
      </c>
      <c r="C126" s="15">
        <v>27438</v>
      </c>
      <c r="D126" s="15">
        <f t="shared" si="10"/>
        <v>-10490.04</v>
      </c>
      <c r="E126" s="16">
        <f t="shared" si="11"/>
        <v>0.6176820467964137</v>
      </c>
    </row>
    <row r="127" spans="1:5" ht="15.75" hidden="1" x14ac:dyDescent="0.25">
      <c r="A127" s="35" t="s">
        <v>127</v>
      </c>
      <c r="B127" s="18">
        <f>SUM(B121:B126)</f>
        <v>1486546.86</v>
      </c>
      <c r="C127" s="18">
        <f>SUM(C121:C126)</f>
        <v>2063057</v>
      </c>
      <c r="D127" s="18">
        <f t="shared" si="10"/>
        <v>-576510.1399999999</v>
      </c>
      <c r="E127" s="19">
        <f t="shared" si="11"/>
        <v>0.72055539909949162</v>
      </c>
    </row>
    <row r="128" spans="1:5" ht="15.75" hidden="1" x14ac:dyDescent="0.25">
      <c r="A128" s="30" t="s">
        <v>128</v>
      </c>
      <c r="B128" s="10"/>
      <c r="C128" s="10"/>
      <c r="D128" s="10"/>
      <c r="E128" s="11"/>
    </row>
    <row r="129" spans="1:5" ht="15" hidden="1" x14ac:dyDescent="0.2">
      <c r="A129" s="34" t="s">
        <v>129</v>
      </c>
      <c r="B129" s="15">
        <v>55405.04</v>
      </c>
      <c r="C129" s="15">
        <v>67297</v>
      </c>
      <c r="D129" s="15">
        <f>(ROUND(B129,2)- ROUND(C129,2))</f>
        <v>-11891.96</v>
      </c>
      <c r="E129" s="16">
        <f>(IF((ROUND(C129,2) = 0),0,((100 * ROUND(B129,2)) / ROUND(C129,2))))/100</f>
        <v>0.82329138000208035</v>
      </c>
    </row>
    <row r="130" spans="1:5" ht="15" hidden="1" x14ac:dyDescent="0.2">
      <c r="A130" s="34" t="s">
        <v>130</v>
      </c>
      <c r="B130" s="15">
        <v>225602.12</v>
      </c>
      <c r="C130" s="15">
        <v>287755</v>
      </c>
      <c r="D130" s="15">
        <f>(ROUND(B130,2)- ROUND(C130,2))</f>
        <v>-62152.880000000005</v>
      </c>
      <c r="E130" s="16">
        <f>(IF((ROUND(C130,2) = 0),0,((100 * ROUND(B130,2)) / ROUND(C130,2))))/100</f>
        <v>0.784007645392782</v>
      </c>
    </row>
    <row r="131" spans="1:5" ht="15" hidden="1" x14ac:dyDescent="0.2">
      <c r="A131" s="34" t="s">
        <v>131</v>
      </c>
      <c r="B131" s="15">
        <v>15630.72</v>
      </c>
      <c r="C131" s="15">
        <v>27300</v>
      </c>
      <c r="D131" s="15">
        <f>(ROUND(B131,2)- ROUND(C131,2))</f>
        <v>-11669.28</v>
      </c>
      <c r="E131" s="16">
        <f>(IF((ROUND(C131,2) = 0),0,((100 * ROUND(B131,2)) / ROUND(C131,2))))/100</f>
        <v>0.57255384615384619</v>
      </c>
    </row>
    <row r="132" spans="1:5" ht="15.75" hidden="1" x14ac:dyDescent="0.25">
      <c r="A132" s="35" t="s">
        <v>132</v>
      </c>
      <c r="B132" s="18">
        <f>SUM(B129:B131)</f>
        <v>296637.87999999995</v>
      </c>
      <c r="C132" s="18">
        <f>SUM(C129:C131)</f>
        <v>382352</v>
      </c>
      <c r="D132" s="18">
        <f>(ROUND(B132,2)- ROUND(C132,2))</f>
        <v>-85714.12</v>
      </c>
      <c r="E132" s="19">
        <f>(IF((ROUND(C132,2) = 0),0,((100 * ROUND(B132,2)) / ROUND(C132,2))))/100</f>
        <v>0.77582405741306448</v>
      </c>
    </row>
    <row r="133" spans="1:5" ht="15.75" hidden="1" x14ac:dyDescent="0.25">
      <c r="A133" s="30" t="s">
        <v>133</v>
      </c>
      <c r="B133" s="10"/>
      <c r="C133" s="10"/>
      <c r="D133" s="10"/>
      <c r="E133" s="11"/>
    </row>
    <row r="134" spans="1:5" ht="15" hidden="1" x14ac:dyDescent="0.2">
      <c r="A134" s="34" t="s">
        <v>134</v>
      </c>
      <c r="B134" s="15">
        <v>78500</v>
      </c>
      <c r="C134" s="15">
        <v>75000</v>
      </c>
      <c r="D134" s="15">
        <f t="shared" ref="D134:D148" si="12">(ROUND(B134,2)- ROUND(C134,2))</f>
        <v>3500</v>
      </c>
      <c r="E134" s="16">
        <f t="shared" ref="E134:E148" si="13">(IF((ROUND(C134,2) = 0),0,((100 * ROUND(B134,2)) / ROUND(C134,2))))/100</f>
        <v>1.0466666666666666</v>
      </c>
    </row>
    <row r="135" spans="1:5" ht="15" hidden="1" x14ac:dyDescent="0.2">
      <c r="A135" s="34" t="s">
        <v>135</v>
      </c>
      <c r="B135" s="15">
        <v>5398.43</v>
      </c>
      <c r="C135" s="15">
        <v>0</v>
      </c>
      <c r="D135" s="15">
        <f t="shared" si="12"/>
        <v>5398.43</v>
      </c>
      <c r="E135" s="16">
        <f t="shared" si="13"/>
        <v>0</v>
      </c>
    </row>
    <row r="136" spans="1:5" ht="15" hidden="1" x14ac:dyDescent="0.2">
      <c r="A136" s="34" t="s">
        <v>136</v>
      </c>
      <c r="B136" s="15">
        <v>161299.85999999999</v>
      </c>
      <c r="C136" s="15">
        <v>227604</v>
      </c>
      <c r="D136" s="15">
        <f t="shared" si="12"/>
        <v>-66304.140000000014</v>
      </c>
      <c r="E136" s="16">
        <f t="shared" si="13"/>
        <v>0.70868640269942518</v>
      </c>
    </row>
    <row r="137" spans="1:5" ht="15" hidden="1" x14ac:dyDescent="0.2">
      <c r="A137" s="34" t="s">
        <v>137</v>
      </c>
      <c r="B137" s="15">
        <v>20035.7</v>
      </c>
      <c r="C137" s="15">
        <v>16800</v>
      </c>
      <c r="D137" s="15">
        <f t="shared" si="12"/>
        <v>3235.7000000000007</v>
      </c>
      <c r="E137" s="16">
        <f t="shared" si="13"/>
        <v>1.1926011904761904</v>
      </c>
    </row>
    <row r="138" spans="1:5" ht="15" hidden="1" x14ac:dyDescent="0.2">
      <c r="A138" s="34" t="s">
        <v>138</v>
      </c>
      <c r="B138" s="15">
        <v>13570.18</v>
      </c>
      <c r="C138" s="15">
        <v>32890</v>
      </c>
      <c r="D138" s="15">
        <f t="shared" si="12"/>
        <v>-19319.82</v>
      </c>
      <c r="E138" s="16">
        <f t="shared" si="13"/>
        <v>0.4125928853754941</v>
      </c>
    </row>
    <row r="139" spans="1:5" ht="15" hidden="1" x14ac:dyDescent="0.2">
      <c r="A139" s="34" t="s">
        <v>139</v>
      </c>
      <c r="B139" s="15">
        <v>131300.1</v>
      </c>
      <c r="C139" s="15">
        <v>259838</v>
      </c>
      <c r="D139" s="15">
        <f t="shared" si="12"/>
        <v>-128537.9</v>
      </c>
      <c r="E139" s="16">
        <f t="shared" si="13"/>
        <v>0.50531523487711572</v>
      </c>
    </row>
    <row r="140" spans="1:5" ht="15" hidden="1" x14ac:dyDescent="0.2">
      <c r="A140" s="34" t="s">
        <v>140</v>
      </c>
      <c r="B140" s="15">
        <v>2830599.24</v>
      </c>
      <c r="C140" s="15">
        <v>4295089</v>
      </c>
      <c r="D140" s="15">
        <f t="shared" si="12"/>
        <v>-1464489.7599999998</v>
      </c>
      <c r="E140" s="16">
        <f t="shared" si="13"/>
        <v>0.65903156837960752</v>
      </c>
    </row>
    <row r="141" spans="1:5" ht="15" hidden="1" x14ac:dyDescent="0.2">
      <c r="A141" s="34" t="s">
        <v>141</v>
      </c>
      <c r="B141" s="15">
        <v>88308.79</v>
      </c>
      <c r="C141" s="15">
        <v>107797</v>
      </c>
      <c r="D141" s="15">
        <f t="shared" si="12"/>
        <v>-19488.210000000006</v>
      </c>
      <c r="E141" s="16">
        <f t="shared" si="13"/>
        <v>0.81921380001298738</v>
      </c>
    </row>
    <row r="142" spans="1:5" ht="15" hidden="1" x14ac:dyDescent="0.2">
      <c r="A142" s="34" t="s">
        <v>142</v>
      </c>
      <c r="B142" s="15">
        <v>266660.31</v>
      </c>
      <c r="C142" s="15">
        <v>313756</v>
      </c>
      <c r="D142" s="15">
        <f t="shared" si="12"/>
        <v>-47095.69</v>
      </c>
      <c r="E142" s="16">
        <f t="shared" si="13"/>
        <v>0.84989708563342214</v>
      </c>
    </row>
    <row r="143" spans="1:5" ht="15" hidden="1" x14ac:dyDescent="0.2">
      <c r="A143" s="34" t="s">
        <v>143</v>
      </c>
      <c r="B143" s="15">
        <v>46200</v>
      </c>
      <c r="C143" s="15">
        <v>50400</v>
      </c>
      <c r="D143" s="15">
        <f t="shared" si="12"/>
        <v>-4200</v>
      </c>
      <c r="E143" s="16">
        <f t="shared" si="13"/>
        <v>0.91666666666666674</v>
      </c>
    </row>
    <row r="144" spans="1:5" ht="15" hidden="1" x14ac:dyDescent="0.2">
      <c r="A144" s="34" t="s">
        <v>144</v>
      </c>
      <c r="B144" s="15">
        <v>0</v>
      </c>
      <c r="C144" s="15">
        <v>42864</v>
      </c>
      <c r="D144" s="15">
        <f t="shared" si="12"/>
        <v>-42864</v>
      </c>
      <c r="E144" s="16">
        <f t="shared" si="13"/>
        <v>0</v>
      </c>
    </row>
    <row r="145" spans="1:5" ht="15" hidden="1" x14ac:dyDescent="0.2">
      <c r="A145" s="34" t="s">
        <v>145</v>
      </c>
      <c r="B145" s="15">
        <v>0</v>
      </c>
      <c r="C145" s="15">
        <v>48976</v>
      </c>
      <c r="D145" s="15">
        <f t="shared" si="12"/>
        <v>-48976</v>
      </c>
      <c r="E145" s="16">
        <f t="shared" si="13"/>
        <v>0</v>
      </c>
    </row>
    <row r="146" spans="1:5" ht="15" hidden="1" x14ac:dyDescent="0.2">
      <c r="A146" s="34" t="s">
        <v>146</v>
      </c>
      <c r="B146" s="15">
        <v>1500</v>
      </c>
      <c r="C146" s="15">
        <v>0</v>
      </c>
      <c r="D146" s="15">
        <f t="shared" si="12"/>
        <v>1500</v>
      </c>
      <c r="E146" s="16">
        <f t="shared" si="13"/>
        <v>0</v>
      </c>
    </row>
    <row r="147" spans="1:5" ht="15.75" hidden="1" x14ac:dyDescent="0.25">
      <c r="A147" s="35" t="s">
        <v>147</v>
      </c>
      <c r="B147" s="18">
        <f>SUM(B134:B146)</f>
        <v>3643372.6100000003</v>
      </c>
      <c r="C147" s="18">
        <f>SUM(C134:C146)</f>
        <v>5471014</v>
      </c>
      <c r="D147" s="18">
        <f t="shared" si="12"/>
        <v>-1827641.3900000001</v>
      </c>
      <c r="E147" s="19">
        <f t="shared" si="13"/>
        <v>0.66594101385958793</v>
      </c>
    </row>
    <row r="148" spans="1:5" ht="15.75" hidden="1" x14ac:dyDescent="0.25">
      <c r="A148" s="17" t="s">
        <v>148</v>
      </c>
      <c r="B148" s="18">
        <f>SUM(B127,B132,B147)</f>
        <v>5426557.3500000006</v>
      </c>
      <c r="C148" s="18">
        <f>SUM(C127,C132,C147)</f>
        <v>7916423</v>
      </c>
      <c r="D148" s="18">
        <f t="shared" si="12"/>
        <v>-2489865.6500000004</v>
      </c>
      <c r="E148" s="19">
        <f t="shared" si="13"/>
        <v>0.68548097417229981</v>
      </c>
    </row>
    <row r="149" spans="1:5" ht="15.75" x14ac:dyDescent="0.25">
      <c r="A149" s="13" t="s">
        <v>149</v>
      </c>
      <c r="B149" s="10">
        <v>84071.23</v>
      </c>
      <c r="C149" s="10">
        <v>283075.44</v>
      </c>
      <c r="D149" s="10">
        <v>-199004.21000000002</v>
      </c>
      <c r="E149" s="11">
        <v>0.2969923141336458</v>
      </c>
    </row>
    <row r="150" spans="1:5" ht="15" hidden="1" x14ac:dyDescent="0.2">
      <c r="A150" s="14" t="s">
        <v>150</v>
      </c>
      <c r="B150" s="15">
        <v>4826.28</v>
      </c>
      <c r="C150" s="15">
        <v>10700</v>
      </c>
      <c r="D150" s="15">
        <f t="shared" ref="D150:D155" si="14">(ROUND(B150,2)- ROUND(C150,2))</f>
        <v>-5873.72</v>
      </c>
      <c r="E150" s="16">
        <f t="shared" ref="E150:E155" si="15">(IF((ROUND(C150,2) = 0),0,((100 * ROUND(B150,2)) / ROUND(C150,2))))/100</f>
        <v>0.45105420560747661</v>
      </c>
    </row>
    <row r="151" spans="1:5" ht="15" hidden="1" x14ac:dyDescent="0.2">
      <c r="A151" s="14" t="s">
        <v>151</v>
      </c>
      <c r="B151" s="15">
        <v>49962.13</v>
      </c>
      <c r="C151" s="15">
        <v>59375.44</v>
      </c>
      <c r="D151" s="15">
        <f t="shared" si="14"/>
        <v>-9413.3100000000049</v>
      </c>
      <c r="E151" s="16">
        <f t="shared" si="15"/>
        <v>0.84146121696108689</v>
      </c>
    </row>
    <row r="152" spans="1:5" ht="15" hidden="1" x14ac:dyDescent="0.2">
      <c r="A152" s="14" t="s">
        <v>152</v>
      </c>
      <c r="B152" s="15">
        <v>412.5</v>
      </c>
      <c r="C152" s="15">
        <v>165000</v>
      </c>
      <c r="D152" s="15">
        <f t="shared" si="14"/>
        <v>-164587.5</v>
      </c>
      <c r="E152" s="16">
        <f t="shared" si="15"/>
        <v>2.5000000000000001E-3</v>
      </c>
    </row>
    <row r="153" spans="1:5" ht="15" hidden="1" x14ac:dyDescent="0.2">
      <c r="A153" s="14" t="s">
        <v>153</v>
      </c>
      <c r="B153" s="15">
        <v>28870.32</v>
      </c>
      <c r="C153" s="15">
        <v>40000</v>
      </c>
      <c r="D153" s="15">
        <f t="shared" si="14"/>
        <v>-11129.68</v>
      </c>
      <c r="E153" s="16">
        <f t="shared" si="15"/>
        <v>0.7217579999999999</v>
      </c>
    </row>
    <row r="154" spans="1:5" ht="15" hidden="1" x14ac:dyDescent="0.2">
      <c r="A154" s="14" t="s">
        <v>154</v>
      </c>
      <c r="B154" s="15">
        <v>0</v>
      </c>
      <c r="C154" s="15">
        <v>8000</v>
      </c>
      <c r="D154" s="15">
        <f t="shared" si="14"/>
        <v>-8000</v>
      </c>
      <c r="E154" s="16">
        <f t="shared" si="15"/>
        <v>0</v>
      </c>
    </row>
    <row r="155" spans="1:5" ht="15.75" hidden="1" x14ac:dyDescent="0.25">
      <c r="A155" s="17" t="s">
        <v>155</v>
      </c>
      <c r="B155" s="18">
        <f>SUM(B150:B154)</f>
        <v>84071.23</v>
      </c>
      <c r="C155" s="18">
        <f>SUM(C150:C154)</f>
        <v>283075.44</v>
      </c>
      <c r="D155" s="18">
        <f t="shared" si="14"/>
        <v>-199004.21000000002</v>
      </c>
      <c r="E155" s="19">
        <f t="shared" si="15"/>
        <v>0.2969923141336458</v>
      </c>
    </row>
    <row r="156" spans="1:5" ht="15.75" x14ac:dyDescent="0.25">
      <c r="A156" s="13" t="s">
        <v>156</v>
      </c>
      <c r="B156" s="10">
        <v>3157943.97</v>
      </c>
      <c r="C156" s="10">
        <v>6282900</v>
      </c>
      <c r="D156" s="10">
        <v>-3124956.03</v>
      </c>
      <c r="E156" s="11">
        <v>0.50262521606264621</v>
      </c>
    </row>
    <row r="157" spans="1:5" ht="15" hidden="1" x14ac:dyDescent="0.2">
      <c r="A157" s="14" t="s">
        <v>157</v>
      </c>
      <c r="B157" s="15">
        <v>11343.75</v>
      </c>
      <c r="C157" s="15">
        <v>15000</v>
      </c>
      <c r="D157" s="15">
        <f t="shared" ref="D157:D163" si="16">(ROUND(B157,2)- ROUND(C157,2))</f>
        <v>-3656.25</v>
      </c>
      <c r="E157" s="16">
        <f t="shared" ref="E157:E163" si="17">(IF((ROUND(C157,2) = 0),0,((100 * ROUND(B157,2)) / ROUND(C157,2))))/100</f>
        <v>0.75624999999999998</v>
      </c>
    </row>
    <row r="158" spans="1:5" ht="15" hidden="1" x14ac:dyDescent="0.2">
      <c r="A158" s="14" t="s">
        <v>158</v>
      </c>
      <c r="B158" s="15">
        <v>112851.03</v>
      </c>
      <c r="C158" s="15">
        <v>150000</v>
      </c>
      <c r="D158" s="15">
        <f t="shared" si="16"/>
        <v>-37148.97</v>
      </c>
      <c r="E158" s="16">
        <f t="shared" si="17"/>
        <v>0.75234020000000001</v>
      </c>
    </row>
    <row r="159" spans="1:5" ht="15" hidden="1" x14ac:dyDescent="0.2">
      <c r="A159" s="14" t="s">
        <v>159</v>
      </c>
      <c r="B159" s="15">
        <v>549.89</v>
      </c>
      <c r="C159" s="15">
        <v>7600</v>
      </c>
      <c r="D159" s="15">
        <f t="shared" si="16"/>
        <v>-7050.11</v>
      </c>
      <c r="E159" s="16">
        <f t="shared" si="17"/>
        <v>7.2353947368421045E-2</v>
      </c>
    </row>
    <row r="160" spans="1:5" ht="15" hidden="1" x14ac:dyDescent="0.2">
      <c r="A160" s="14" t="s">
        <v>160</v>
      </c>
      <c r="B160" s="15">
        <v>2936245.94</v>
      </c>
      <c r="C160" s="15">
        <v>6000000</v>
      </c>
      <c r="D160" s="15">
        <f t="shared" si="16"/>
        <v>-3063754.06</v>
      </c>
      <c r="E160" s="16">
        <f t="shared" si="17"/>
        <v>0.48937432333333336</v>
      </c>
    </row>
    <row r="161" spans="1:6" ht="15" hidden="1" x14ac:dyDescent="0.2">
      <c r="A161" s="14" t="s">
        <v>161</v>
      </c>
      <c r="B161" s="15">
        <v>32552.74</v>
      </c>
      <c r="C161" s="15">
        <v>100000</v>
      </c>
      <c r="D161" s="15">
        <f t="shared" si="16"/>
        <v>-67447.259999999995</v>
      </c>
      <c r="E161" s="16">
        <f t="shared" si="17"/>
        <v>0.32552740000000002</v>
      </c>
    </row>
    <row r="162" spans="1:6" ht="15" hidden="1" x14ac:dyDescent="0.2">
      <c r="A162" s="14" t="s">
        <v>162</v>
      </c>
      <c r="B162" s="15">
        <v>64400.62</v>
      </c>
      <c r="C162" s="15">
        <v>10300</v>
      </c>
      <c r="D162" s="15">
        <f t="shared" si="16"/>
        <v>54100.62</v>
      </c>
      <c r="E162" s="16">
        <f t="shared" si="17"/>
        <v>6.2524873786407769</v>
      </c>
    </row>
    <row r="163" spans="1:6" ht="15.75" hidden="1" x14ac:dyDescent="0.25">
      <c r="A163" s="17" t="s">
        <v>163</v>
      </c>
      <c r="B163" s="18">
        <f>SUM(B157:B162)</f>
        <v>3157943.97</v>
      </c>
      <c r="C163" s="18">
        <f>SUM(C157:C162)</f>
        <v>6282900</v>
      </c>
      <c r="D163" s="18">
        <f t="shared" si="16"/>
        <v>-3124956.03</v>
      </c>
      <c r="E163" s="19">
        <f t="shared" si="17"/>
        <v>0.50262521606264621</v>
      </c>
    </row>
    <row r="164" spans="1:6" ht="15.75" x14ac:dyDescent="0.25">
      <c r="A164" s="13" t="s">
        <v>164</v>
      </c>
      <c r="B164" s="10">
        <v>1745203.88</v>
      </c>
      <c r="C164" s="10">
        <v>2000000</v>
      </c>
      <c r="D164" s="10">
        <v>-254796.12000000011</v>
      </c>
      <c r="E164" s="11">
        <v>0.87260194000000002</v>
      </c>
    </row>
    <row r="165" spans="1:6" ht="15" hidden="1" x14ac:dyDescent="0.2">
      <c r="A165" s="14" t="s">
        <v>165</v>
      </c>
      <c r="B165" s="15">
        <v>1745203.88</v>
      </c>
      <c r="C165" s="15">
        <v>2000000</v>
      </c>
      <c r="D165" s="15">
        <f>(ROUND(B165,2)- ROUND(C165,2))</f>
        <v>-254796.12000000011</v>
      </c>
      <c r="E165" s="16">
        <f>(IF((ROUND(C165,2) = 0),0,((100 * ROUND(B165,2)) / ROUND(C165,2))))/100</f>
        <v>0.87260194000000002</v>
      </c>
    </row>
    <row r="166" spans="1:6" ht="15.75" hidden="1" x14ac:dyDescent="0.25">
      <c r="A166" s="17" t="s">
        <v>166</v>
      </c>
      <c r="B166" s="18">
        <f>SUM(B165)</f>
        <v>1745203.88</v>
      </c>
      <c r="C166" s="18">
        <f>SUM(C165)</f>
        <v>2000000</v>
      </c>
      <c r="D166" s="18">
        <f>(ROUND(B166,2)- ROUND(C166,2))</f>
        <v>-254796.12000000011</v>
      </c>
      <c r="E166" s="19">
        <f>(IF((ROUND(C166,2) = 0),0,((100 * ROUND(B166,2)) / ROUND(C166,2))))/100</f>
        <v>0.87260194000000002</v>
      </c>
    </row>
    <row r="167" spans="1:6" ht="15.75" x14ac:dyDescent="0.25">
      <c r="A167" s="13" t="s">
        <v>167</v>
      </c>
      <c r="B167" s="10">
        <v>14910.489999999998</v>
      </c>
      <c r="C167" s="10">
        <v>25000</v>
      </c>
      <c r="D167" s="10">
        <v>-10089.51</v>
      </c>
      <c r="E167" s="11">
        <v>0.59641959999999994</v>
      </c>
    </row>
    <row r="168" spans="1:6" ht="15" hidden="1" x14ac:dyDescent="0.2">
      <c r="A168" s="14" t="s">
        <v>168</v>
      </c>
      <c r="B168" s="15">
        <v>3846.62</v>
      </c>
      <c r="C168" s="15">
        <v>6500</v>
      </c>
      <c r="D168" s="15">
        <f t="shared" ref="D168:D175" si="18">(ROUND(B168,2)- ROUND(C168,2))</f>
        <v>-2653.38</v>
      </c>
      <c r="E168" s="16">
        <f t="shared" ref="E168:E175" si="19">(IF((ROUND(C168,2) = 0),0,((100 * ROUND(B168,2)) / ROUND(C168,2))))/100</f>
        <v>0.59178769230769235</v>
      </c>
    </row>
    <row r="169" spans="1:6" ht="15" hidden="1" x14ac:dyDescent="0.2">
      <c r="A169" s="14" t="s">
        <v>169</v>
      </c>
      <c r="B169" s="15">
        <v>4542.82</v>
      </c>
      <c r="C169" s="15">
        <v>12000</v>
      </c>
      <c r="D169" s="15">
        <f t="shared" si="18"/>
        <v>-7457.18</v>
      </c>
      <c r="E169" s="16">
        <f t="shared" si="19"/>
        <v>0.37856833333333334</v>
      </c>
    </row>
    <row r="170" spans="1:6" ht="15" hidden="1" x14ac:dyDescent="0.2">
      <c r="A170" s="14" t="s">
        <v>170</v>
      </c>
      <c r="B170" s="15">
        <v>6521.05</v>
      </c>
      <c r="C170" s="15">
        <v>6500</v>
      </c>
      <c r="D170" s="15">
        <f t="shared" si="18"/>
        <v>21.050000000000182</v>
      </c>
      <c r="E170" s="16">
        <f t="shared" si="19"/>
        <v>1.0032384615384615</v>
      </c>
    </row>
    <row r="171" spans="1:6" ht="15.75" hidden="1" x14ac:dyDescent="0.25">
      <c r="A171" s="17" t="s">
        <v>171</v>
      </c>
      <c r="B171" s="18">
        <f>SUM(B168:B170)</f>
        <v>14910.489999999998</v>
      </c>
      <c r="C171" s="18">
        <f>SUM(C168:C170)</f>
        <v>25000</v>
      </c>
      <c r="D171" s="18">
        <f t="shared" si="18"/>
        <v>-10089.51</v>
      </c>
      <c r="E171" s="19">
        <f t="shared" si="19"/>
        <v>0.59641959999999994</v>
      </c>
    </row>
    <row r="172" spans="1:6" ht="15.75" x14ac:dyDescent="0.25">
      <c r="A172" s="20" t="s">
        <v>172</v>
      </c>
      <c r="B172" s="18">
        <f>SUM(B74,B77,B80,B88,B91,B105,B110,B148,B155,B163,B166,B171)</f>
        <v>18919354.479999997</v>
      </c>
      <c r="C172" s="18">
        <f>SUM(C74,C77,C80,C88,C91,C105,C110,C148,C155,C163,C166,C171)</f>
        <v>26749157.130000003</v>
      </c>
      <c r="D172" s="18">
        <f t="shared" si="18"/>
        <v>-7829802.6499999985</v>
      </c>
      <c r="E172" s="19">
        <f t="shared" si="19"/>
        <v>0.70728787408338045</v>
      </c>
    </row>
    <row r="173" spans="1:6" ht="15.75" x14ac:dyDescent="0.25">
      <c r="A173" s="21" t="s">
        <v>173</v>
      </c>
      <c r="B173" s="22">
        <f>SUM(B172)</f>
        <v>18919354.479999997</v>
      </c>
      <c r="C173" s="22">
        <f>SUM(C172)</f>
        <v>26749157.130000003</v>
      </c>
      <c r="D173" s="22">
        <f t="shared" si="18"/>
        <v>-7829802.6499999985</v>
      </c>
      <c r="E173" s="23">
        <f t="shared" si="19"/>
        <v>0.70728787408338045</v>
      </c>
    </row>
    <row r="174" spans="1:6" ht="15.75" x14ac:dyDescent="0.25">
      <c r="A174" s="36"/>
      <c r="B174" s="37"/>
      <c r="C174" s="37"/>
      <c r="D174" s="37"/>
      <c r="E174" s="38"/>
      <c r="F174" s="8"/>
    </row>
    <row r="175" spans="1:6" ht="15.75" hidden="1" x14ac:dyDescent="0.2">
      <c r="A175" s="39" t="s">
        <v>174</v>
      </c>
      <c r="B175" s="28">
        <f>B47-B173</f>
        <v>6677397.7600000054</v>
      </c>
      <c r="C175" s="28">
        <f>C47-C173</f>
        <v>8876842.8699999973</v>
      </c>
      <c r="D175" s="28">
        <f t="shared" si="18"/>
        <v>-2199445.1099999994</v>
      </c>
      <c r="E175" s="29">
        <f t="shared" si="19"/>
        <v>0.75222664834665498</v>
      </c>
    </row>
    <row r="176" spans="1:6" ht="15.75" hidden="1" x14ac:dyDescent="0.2">
      <c r="A176" s="40" t="s">
        <v>175</v>
      </c>
      <c r="B176" s="10"/>
      <c r="C176" s="10"/>
      <c r="D176" s="10"/>
      <c r="E176" s="11"/>
    </row>
    <row r="177" spans="1:5" ht="15.75" hidden="1" x14ac:dyDescent="0.25">
      <c r="A177" s="24" t="s">
        <v>176</v>
      </c>
      <c r="B177" s="10"/>
      <c r="C177" s="10"/>
      <c r="D177" s="10"/>
      <c r="E177" s="11"/>
    </row>
    <row r="178" spans="1:5" ht="15.75" hidden="1" x14ac:dyDescent="0.25">
      <c r="A178" s="12" t="s">
        <v>177</v>
      </c>
      <c r="B178" s="10">
        <v>61154.17</v>
      </c>
      <c r="C178" s="10">
        <v>-50000</v>
      </c>
      <c r="D178" s="10">
        <v>111154.17</v>
      </c>
      <c r="E178" s="11">
        <v>-1.2230833999999999</v>
      </c>
    </row>
    <row r="179" spans="1:5" ht="15" hidden="1" x14ac:dyDescent="0.2">
      <c r="A179" s="25" t="s">
        <v>178</v>
      </c>
      <c r="B179" s="15">
        <v>61154.17</v>
      </c>
      <c r="C179" s="15">
        <v>-50000</v>
      </c>
      <c r="D179" s="15">
        <f>(ROUND(B179,2)- ROUND(C179,2))</f>
        <v>111154.17</v>
      </c>
      <c r="E179" s="16">
        <f>(IF((ROUND(C179,2) = 0),0,((100 * ROUND(B179,2)) / ROUND(C179,2))))/100</f>
        <v>-1.2230833999999999</v>
      </c>
    </row>
    <row r="180" spans="1:5" ht="15.75" hidden="1" x14ac:dyDescent="0.25">
      <c r="A180" s="20" t="s">
        <v>179</v>
      </c>
      <c r="B180" s="18">
        <f>SUM(B179)</f>
        <v>61154.17</v>
      </c>
      <c r="C180" s="18">
        <f>SUM(C179)</f>
        <v>-50000</v>
      </c>
      <c r="D180" s="18">
        <f>(ROUND(B180,2)- ROUND(C180,2))</f>
        <v>111154.17</v>
      </c>
      <c r="E180" s="19">
        <f>(IF((ROUND(C180,2) = 0),0,((100 * ROUND(B180,2)) / ROUND(C180,2))))/100</f>
        <v>-1.2230833999999999</v>
      </c>
    </row>
    <row r="181" spans="1:5" ht="15.75" hidden="1" x14ac:dyDescent="0.25">
      <c r="A181" s="26" t="s">
        <v>180</v>
      </c>
      <c r="B181" s="18">
        <f>SUM(B180)</f>
        <v>61154.17</v>
      </c>
      <c r="C181" s="18">
        <f>SUM(C180)</f>
        <v>-50000</v>
      </c>
      <c r="D181" s="18">
        <f>(ROUND(B181,2)- ROUND(C181,2))</f>
        <v>111154.17</v>
      </c>
      <c r="E181" s="19">
        <f>(IF((ROUND(C181,2) = 0),0,((100 * ROUND(B181,2)) / ROUND(C181,2))))/100</f>
        <v>-1.2230833999999999</v>
      </c>
    </row>
    <row r="182" spans="1:5" ht="15.75" hidden="1" x14ac:dyDescent="0.2">
      <c r="A182" s="39" t="s">
        <v>181</v>
      </c>
      <c r="B182" s="28">
        <f>B181-0</f>
        <v>61154.17</v>
      </c>
      <c r="C182" s="28">
        <f>C181-0</f>
        <v>-50000</v>
      </c>
      <c r="D182" s="28">
        <f>(ROUND(B182,2)- ROUND(C182,2))</f>
        <v>111154.17</v>
      </c>
      <c r="E182" s="29">
        <f>(IF((ROUND(C182,2) = 0),0,((100 * ROUND(B182,2)) / ROUND(C182,2))))/100</f>
        <v>-1.2230833999999999</v>
      </c>
    </row>
    <row r="183" spans="1:5" ht="15.75" x14ac:dyDescent="0.2">
      <c r="A183" s="41" t="s">
        <v>182</v>
      </c>
      <c r="B183" s="42">
        <f>B175+B182</f>
        <v>6738551.9300000053</v>
      </c>
      <c r="C183" s="42">
        <f>C175+C182</f>
        <v>8826842.8699999973</v>
      </c>
      <c r="D183" s="42">
        <f>(ROUND(B183,2)- ROUND(C183,2))</f>
        <v>-2088290.9399999995</v>
      </c>
      <c r="E183" s="43">
        <f>(IF((ROUND(C183,2) = 0),0,((100 * ROUND(B183,2)) / ROUND(C183,2))))/100</f>
        <v>0.76341587011846301</v>
      </c>
    </row>
    <row r="186" spans="1:5" ht="15.75" x14ac:dyDescent="0.2">
      <c r="A186" s="41" t="s">
        <v>183</v>
      </c>
      <c r="B186" s="44"/>
      <c r="C186" s="44"/>
      <c r="D186" s="44"/>
      <c r="E186" s="44"/>
    </row>
    <row r="187" spans="1:5" ht="15.75" x14ac:dyDescent="0.2">
      <c r="A187" s="40" t="s">
        <v>184</v>
      </c>
      <c r="B187" s="45">
        <f>28236.34+(937216.2+390506.75)+56612.56</f>
        <v>1412571.85</v>
      </c>
      <c r="C187" s="45">
        <f>4428262+200000+1266077</f>
        <v>5894339</v>
      </c>
      <c r="D187" s="45">
        <f t="shared" ref="D187:D191" si="20">B187-C187</f>
        <v>-4481767.1500000004</v>
      </c>
      <c r="E187" s="46">
        <f>B187/C187</f>
        <v>0.23964889871451237</v>
      </c>
    </row>
    <row r="188" spans="1:5" ht="15.75" x14ac:dyDescent="0.2">
      <c r="A188" s="40" t="s">
        <v>185</v>
      </c>
      <c r="B188" s="45">
        <v>3100707</v>
      </c>
      <c r="C188" s="45">
        <v>10338353</v>
      </c>
      <c r="D188" s="45">
        <f t="shared" si="20"/>
        <v>-7237646</v>
      </c>
      <c r="E188" s="46">
        <f t="shared" ref="E188:E193" si="21">B188/C188</f>
        <v>0.29992272463515224</v>
      </c>
    </row>
    <row r="189" spans="1:5" ht="15.75" x14ac:dyDescent="0.2">
      <c r="A189" s="40" t="s">
        <v>186</v>
      </c>
      <c r="B189" s="45">
        <v>1177628</v>
      </c>
      <c r="C189" s="45">
        <v>2595626</v>
      </c>
      <c r="D189" s="45">
        <f t="shared" si="20"/>
        <v>-1417998</v>
      </c>
      <c r="E189" s="46">
        <f t="shared" si="21"/>
        <v>0.4536971042823581</v>
      </c>
    </row>
    <row r="190" spans="1:5" ht="15.75" x14ac:dyDescent="0.2">
      <c r="A190" s="40" t="s">
        <v>187</v>
      </c>
      <c r="B190" s="45">
        <v>245514</v>
      </c>
      <c r="C190" s="45">
        <v>669561.25</v>
      </c>
      <c r="D190" s="45">
        <f t="shared" si="20"/>
        <v>-424047.25</v>
      </c>
      <c r="E190" s="46">
        <f t="shared" si="21"/>
        <v>0.36667892593844104</v>
      </c>
    </row>
    <row r="191" spans="1:5" ht="15.75" x14ac:dyDescent="0.2">
      <c r="A191" s="40" t="s">
        <v>188</v>
      </c>
      <c r="B191" s="45">
        <v>1515480</v>
      </c>
      <c r="C191" s="45">
        <f>2575000+102594</f>
        <v>2677594</v>
      </c>
      <c r="D191" s="45">
        <f t="shared" si="20"/>
        <v>-1162114</v>
      </c>
      <c r="E191" s="46">
        <f t="shared" si="21"/>
        <v>0.56598573196683288</v>
      </c>
    </row>
    <row r="192" spans="1:5" ht="15.75" x14ac:dyDescent="0.2">
      <c r="A192" s="40" t="s">
        <v>189</v>
      </c>
      <c r="B192" s="45"/>
      <c r="C192" s="45"/>
      <c r="D192" s="45"/>
      <c r="E192" s="46"/>
    </row>
    <row r="193" spans="1:5" ht="15" x14ac:dyDescent="0.2">
      <c r="A193" s="25" t="s">
        <v>190</v>
      </c>
      <c r="B193" s="47">
        <f>98101+35306.67</f>
        <v>133407.66999999998</v>
      </c>
      <c r="C193" s="47">
        <v>17255514</v>
      </c>
      <c r="D193" s="47">
        <f>B193-C193</f>
        <v>-17122106.329999998</v>
      </c>
      <c r="E193" s="48">
        <f t="shared" si="21"/>
        <v>7.7313066420391756E-3</v>
      </c>
    </row>
    <row r="194" spans="1:5" ht="16.5" thickBot="1" x14ac:dyDescent="0.25">
      <c r="A194" s="41" t="s">
        <v>191</v>
      </c>
      <c r="B194" s="49">
        <f>B187+B188+B189+B190+B191+B193</f>
        <v>7585308.5199999996</v>
      </c>
      <c r="C194" s="49">
        <f>C187+C188+C189+C190+C191+C192+C193</f>
        <v>39430987.25</v>
      </c>
      <c r="D194" s="49">
        <f>(ROUND(B194,2)- ROUND(C194,2))</f>
        <v>-31845678.73</v>
      </c>
      <c r="E194" s="50">
        <f>(IF((ROUND(C194,2) = 0),0,((100 * ROUND(B194,2)) / ROUND(C194,2))))/100</f>
        <v>0.19236922656558644</v>
      </c>
    </row>
    <row r="195" spans="1:5" ht="12" thickTop="1" x14ac:dyDescent="0.2"/>
  </sheetData>
  <mergeCells count="3">
    <mergeCell ref="A1:E1"/>
    <mergeCell ref="A2:E2"/>
    <mergeCell ref="A3:E3"/>
  </mergeCells>
  <pageMargins left="0.75" right="0.75" top="1" bottom="1" header="0.5" footer="0.5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BudgetvsActual</vt:lpstr>
    </vt:vector>
  </TitlesOfParts>
  <Company>NetSuite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NetSuite Reports</dc:creator>
  <cp:lastModifiedBy>Tina Mathieu</cp:lastModifiedBy>
  <cp:lastPrinted>2026-06-24T00:06:32Z</cp:lastPrinted>
  <dcterms:created xsi:type="dcterms:W3CDTF">2026-06-22T20:43:55Z</dcterms:created>
  <dcterms:modified xsi:type="dcterms:W3CDTF">2026-06-24T00:07:06Z</dcterms:modified>
</cp:coreProperties>
</file>