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!2023\UT-7425-23 Nordic Village Master Plan\Project Data\05 Documentation\5.09 Reports &amp; Memos\"/>
    </mc:Choice>
  </mc:AlternateContent>
  <xr:revisionPtr revIDLastSave="0" documentId="13_ncr:1_{4CF2A6FB-703F-4FF9-BD6E-19ADE63A418D}" xr6:coauthVersionLast="47" xr6:coauthVersionMax="47" xr10:uidLastSave="{00000000-0000-0000-0000-000000000000}"/>
  <bookViews>
    <workbookView xWindow="-108" yWindow="-108" windowWidth="23256" windowHeight="13896" xr2:uid="{23DD13C3-969D-4C82-A677-5DCDE0A5189C}"/>
  </bookViews>
  <sheets>
    <sheet name="Source Data" sheetId="1" r:id="rId1"/>
    <sheet name="Project Estimates" sheetId="2" r:id="rId2"/>
    <sheet name="Potable Rate Model" sheetId="3" r:id="rId3"/>
    <sheet name="Irrigation Rate Model" sheetId="6" r:id="rId4"/>
    <sheet name="Links" sheetId="4" r:id="rId5"/>
    <sheet name="Bulk Rate Calculations" sheetId="7" r:id="rId6"/>
  </sheets>
  <definedNames>
    <definedName name="_xlnm.Print_Area" localSheetId="1">'Project Estimates'!$A$1:$F$111</definedName>
    <definedName name="_xlnm.Print_Titles" localSheetId="5">'Bulk Rate Calculations'!$1:$2</definedName>
    <definedName name="_xlnm.Print_Titles" localSheetId="3">'Irrigation Rate Model'!$1:$2</definedName>
    <definedName name="_xlnm.Print_Titles" localSheetId="2">'Potable Rate Model'!$1:$2</definedName>
    <definedName name="_xlnm.Print_Titles" localSheetId="1">'Project Estimates'!$1:$2</definedName>
    <definedName name="_xlnm.Print_Titles" localSheetId="0">'Source Data'!$1:$2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" i="4" l="1"/>
  <c r="G3" i="4" s="1"/>
  <c r="G2" i="4"/>
  <c r="F2" i="4"/>
  <c r="B13" i="7" a="1"/>
  <c r="A13" i="7" a="1"/>
  <c r="A13" i="7" s="1"/>
  <c r="D9" i="7"/>
  <c r="A4" i="7"/>
  <c r="A4" i="1"/>
  <c r="B13" i="6" a="1"/>
  <c r="B13" i="6" s="1"/>
  <c r="A13" i="6" a="1"/>
  <c r="A13" i="6" s="1"/>
  <c r="D9" i="6"/>
  <c r="A4" i="6"/>
  <c r="J20" i="1"/>
  <c r="A4" i="2"/>
  <c r="B13" i="7" l="1"/>
  <c r="G13" i="7" s="1" a="1"/>
  <c r="E13" i="7" a="1"/>
  <c r="E13" i="7" s="1"/>
  <c r="G13" i="6" a="1"/>
  <c r="E13" i="6" a="1"/>
  <c r="E13" i="6" s="1"/>
  <c r="G13" i="7" l="1"/>
  <c r="H13" i="7" a="1"/>
  <c r="D13" i="7" a="1"/>
  <c r="G13" i="6"/>
  <c r="H13" i="6" a="1"/>
  <c r="H13" i="7" l="1"/>
  <c r="I13" i="7" s="1" a="1"/>
  <c r="I13" i="7" s="1"/>
  <c r="D13" i="7"/>
  <c r="F13" i="7" s="1" a="1"/>
  <c r="H13" i="6"/>
  <c r="I13" i="6" s="1" a="1"/>
  <c r="F13" i="7" l="1"/>
  <c r="J13" i="7" s="1" a="1"/>
  <c r="I13" i="6"/>
  <c r="J13" i="7" l="1"/>
  <c r="K13" i="7" a="1"/>
  <c r="A4" i="3"/>
  <c r="L13" i="1"/>
  <c r="L18" i="1"/>
  <c r="C20" i="1"/>
  <c r="D20" i="1"/>
  <c r="E20" i="1"/>
  <c r="F20" i="1"/>
  <c r="G20" i="1"/>
  <c r="H20" i="1"/>
  <c r="I20" i="1"/>
  <c r="L20" i="1"/>
  <c r="B20" i="1"/>
  <c r="K19" i="1"/>
  <c r="K20" i="1" s="1"/>
  <c r="K12" i="1"/>
  <c r="K13" i="1" s="1"/>
  <c r="F109" i="2"/>
  <c r="F108" i="2"/>
  <c r="F107" i="2"/>
  <c r="F103" i="2"/>
  <c r="F102" i="2"/>
  <c r="F101" i="2"/>
  <c r="F100" i="2"/>
  <c r="F96" i="2"/>
  <c r="F95" i="2"/>
  <c r="F94" i="2"/>
  <c r="F93" i="2"/>
  <c r="K13" i="7" l="1"/>
  <c r="L14" i="7" s="1" a="1"/>
  <c r="F111" i="2"/>
  <c r="F110" i="2"/>
  <c r="F105" i="2"/>
  <c r="F104" i="2"/>
  <c r="F97" i="2"/>
  <c r="F98" i="2"/>
  <c r="L14" i="7" l="1"/>
  <c r="M13" i="7" s="1" a="1"/>
  <c r="M13" i="7" s="1"/>
  <c r="F106" i="2"/>
  <c r="F99" i="2"/>
  <c r="F92" i="2"/>
  <c r="A13" i="3" l="1" a="1"/>
  <c r="A13" i="3" s="1"/>
  <c r="B13" i="3" a="1"/>
  <c r="F57" i="2"/>
  <c r="C56" i="2"/>
  <c r="F56" i="2" s="1"/>
  <c r="F55" i="2"/>
  <c r="C62" i="2"/>
  <c r="F62" i="2" s="1"/>
  <c r="F61" i="2"/>
  <c r="C45" i="2"/>
  <c r="F45" i="2" s="1"/>
  <c r="A2" i="4" a="1"/>
  <c r="F89" i="2"/>
  <c r="F88" i="2"/>
  <c r="F87" i="2"/>
  <c r="F86" i="2"/>
  <c r="F85" i="2"/>
  <c r="F80" i="2"/>
  <c r="F81" i="2"/>
  <c r="F78" i="2"/>
  <c r="F79" i="2"/>
  <c r="F77" i="2"/>
  <c r="F73" i="2"/>
  <c r="F72" i="2"/>
  <c r="F68" i="2"/>
  <c r="C67" i="2"/>
  <c r="F67" i="2" s="1"/>
  <c r="F66" i="2"/>
  <c r="C51" i="2"/>
  <c r="F51" i="2" s="1"/>
  <c r="F50" i="2"/>
  <c r="C41" i="2"/>
  <c r="F41" i="2" s="1"/>
  <c r="F40" i="2"/>
  <c r="C36" i="2"/>
  <c r="F36" i="2" s="1"/>
  <c r="F35" i="2"/>
  <c r="C31" i="2"/>
  <c r="F31" i="2" s="1"/>
  <c r="F30" i="2"/>
  <c r="C26" i="2"/>
  <c r="F26" i="2" s="1"/>
  <c r="F25" i="2"/>
  <c r="F21" i="2"/>
  <c r="C20" i="2"/>
  <c r="F20" i="2" s="1"/>
  <c r="F19" i="2"/>
  <c r="C15" i="2"/>
  <c r="F15" i="2" s="1"/>
  <c r="F14" i="2"/>
  <c r="C10" i="2"/>
  <c r="F10" i="2" s="1"/>
  <c r="F9" i="2"/>
  <c r="B13" i="3" l="1"/>
  <c r="G13" i="3" s="1" a="1"/>
  <c r="F58" i="2"/>
  <c r="F59" i="2"/>
  <c r="C46" i="2"/>
  <c r="F46" i="2" s="1"/>
  <c r="F48" i="2" s="1"/>
  <c r="F64" i="2"/>
  <c r="F63" i="2"/>
  <c r="A2" i="4"/>
  <c r="F82" i="2"/>
  <c r="F90" i="2"/>
  <c r="F91" i="2"/>
  <c r="F83" i="2"/>
  <c r="F53" i="2"/>
  <c r="F33" i="2"/>
  <c r="F23" i="2"/>
  <c r="F32" i="2"/>
  <c r="F37" i="2"/>
  <c r="F43" i="2"/>
  <c r="F74" i="2"/>
  <c r="F75" i="2"/>
  <c r="F69" i="2"/>
  <c r="F70" i="2"/>
  <c r="F52" i="2"/>
  <c r="F42" i="2"/>
  <c r="F38" i="2"/>
  <c r="F22" i="2"/>
  <c r="F27" i="2"/>
  <c r="F28" i="2"/>
  <c r="F11" i="2"/>
  <c r="F12" i="2"/>
  <c r="F16" i="2"/>
  <c r="F17" i="2"/>
  <c r="G13" i="3" l="1"/>
  <c r="H13" i="3" a="1"/>
  <c r="H13" i="3" s="1"/>
  <c r="F60" i="2"/>
  <c r="F54" i="2"/>
  <c r="F47" i="2"/>
  <c r="F84" i="2"/>
  <c r="F39" i="2"/>
  <c r="B2" i="4" a="1"/>
  <c r="F76" i="2"/>
  <c r="F71" i="2"/>
  <c r="F65" i="2"/>
  <c r="F49" i="2"/>
  <c r="F44" i="2"/>
  <c r="F29" i="2"/>
  <c r="F34" i="2"/>
  <c r="F24" i="2"/>
  <c r="F18" i="2"/>
  <c r="F13" i="2"/>
  <c r="F8" i="2"/>
  <c r="C2" i="4" s="1" a="1"/>
  <c r="C2" i="4" s="1"/>
  <c r="D13" i="3" l="1" a="1"/>
  <c r="D13" i="3" s="1"/>
  <c r="I13" i="3" a="1"/>
  <c r="I13" i="3" s="1"/>
  <c r="B2" i="4"/>
  <c r="D13" i="6" s="1" a="1"/>
  <c r="D13" i="6" s="1"/>
  <c r="F13" i="6" s="1" a="1"/>
  <c r="E12" i="1"/>
  <c r="F13" i="6" l="1"/>
  <c r="J13" i="6" s="1" a="1"/>
  <c r="J13" i="6" s="1"/>
  <c r="K13" i="6" s="1" a="1"/>
  <c r="K13" i="6" s="1"/>
  <c r="L14" i="6" s="1" a="1"/>
  <c r="L14" i="6" s="1"/>
  <c r="M13" i="6" s="1" a="1"/>
  <c r="M13" i="6" s="1"/>
  <c r="D9" i="3"/>
  <c r="E13" i="3" s="1" a="1"/>
  <c r="E13" i="3" s="1"/>
  <c r="B13" i="1" a="1"/>
  <c r="B13" i="1" s="1"/>
  <c r="F13" i="3" l="1" a="1"/>
  <c r="F13" i="3" l="1"/>
  <c r="J13" i="3" s="1" a="1"/>
  <c r="J13" i="3" l="1"/>
  <c r="K13" i="3" s="1" a="1"/>
  <c r="K13" i="3" l="1"/>
  <c r="L14" i="3" s="1" a="1"/>
  <c r="L14" i="3" l="1"/>
  <c r="M13" i="3" s="1" a="1"/>
  <c r="M13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<sst xmlns="http://schemas.openxmlformats.org/spreadsheetml/2006/main" count="286" uniqueCount="103">
  <si>
    <t>Costs from local cities</t>
  </si>
  <si>
    <t>City Name</t>
  </si>
  <si>
    <t>Population</t>
  </si>
  <si>
    <t>Connections</t>
  </si>
  <si>
    <t>Operations Budget</t>
  </si>
  <si>
    <t>Huntsville</t>
  </si>
  <si>
    <t>Daniel</t>
  </si>
  <si>
    <t>Fountain Green</t>
  </si>
  <si>
    <t>Gunnison</t>
  </si>
  <si>
    <t>Moroni</t>
  </si>
  <si>
    <t>Joseph</t>
  </si>
  <si>
    <t>Mantua</t>
  </si>
  <si>
    <t>Hatch</t>
  </si>
  <si>
    <t>Water Revenue</t>
  </si>
  <si>
    <t>Tier 1</t>
  </si>
  <si>
    <t>Tier 2</t>
  </si>
  <si>
    <t>Tier 3</t>
  </si>
  <si>
    <t>Irrigation Revenue</t>
  </si>
  <si>
    <t>Irrigation Cost</t>
  </si>
  <si>
    <t>Rate</t>
  </si>
  <si>
    <t>Year</t>
  </si>
  <si>
    <t>Base</t>
  </si>
  <si>
    <t>Hatch (Commercial)</t>
  </si>
  <si>
    <t>Description</t>
  </si>
  <si>
    <t>Unit</t>
  </si>
  <si>
    <t>Unit Total</t>
  </si>
  <si>
    <t>Unit Cost</t>
  </si>
  <si>
    <t>Item</t>
  </si>
  <si>
    <t>Projects</t>
  </si>
  <si>
    <t>Project Cost</t>
  </si>
  <si>
    <t>Operations Cost</t>
  </si>
  <si>
    <t>Total Costs</t>
  </si>
  <si>
    <t>Yearly Revenue</t>
  </si>
  <si>
    <t>Balance</t>
  </si>
  <si>
    <t>Rates set to adequately and perpetually run, operate, and maintain the water system.</t>
  </si>
  <si>
    <t>Average Operations Cost per ERU</t>
  </si>
  <si>
    <t>Projected Operations Cost</t>
  </si>
  <si>
    <t>Recommended Base Rate</t>
  </si>
  <si>
    <t>8" PVC C-900</t>
  </si>
  <si>
    <t>LF</t>
  </si>
  <si>
    <t>Asphalt</t>
  </si>
  <si>
    <t>Engineering</t>
  </si>
  <si>
    <t>Contengency</t>
  </si>
  <si>
    <t>Quantity</t>
  </si>
  <si>
    <t>SF</t>
  </si>
  <si>
    <t>Pressure Relief Valve</t>
  </si>
  <si>
    <t>EA</t>
  </si>
  <si>
    <t>Nordic Valley Way Segment 1</t>
  </si>
  <si>
    <t>Well to Tank Segment 1</t>
  </si>
  <si>
    <t>Well to Tank Segment 2</t>
  </si>
  <si>
    <t>Well to Tank Segment 3</t>
  </si>
  <si>
    <t>Nordic Valley Way Segment 2</t>
  </si>
  <si>
    <t>Nordic Valley Way Segment 3</t>
  </si>
  <si>
    <t xml:space="preserve">Tank to Distribution </t>
  </si>
  <si>
    <t>Street A</t>
  </si>
  <si>
    <t>Street B</t>
  </si>
  <si>
    <t>Well Retooling</t>
  </si>
  <si>
    <t>Well Treatments</t>
  </si>
  <si>
    <t>LS</t>
  </si>
  <si>
    <t>Pump and Controls</t>
  </si>
  <si>
    <t>CY</t>
  </si>
  <si>
    <t>Well Reconstruction</t>
  </si>
  <si>
    <t>Building</t>
  </si>
  <si>
    <t>Piping</t>
  </si>
  <si>
    <t>Electrical</t>
  </si>
  <si>
    <t>Site Work</t>
  </si>
  <si>
    <t>Tank Reconstruction</t>
  </si>
  <si>
    <t>Chlorination Building</t>
  </si>
  <si>
    <t>Piping and Connections</t>
  </si>
  <si>
    <t>Tank</t>
  </si>
  <si>
    <t>Project Numbers</t>
  </si>
  <si>
    <t>"S" Street</t>
  </si>
  <si>
    <t>3850 E Street</t>
  </si>
  <si>
    <t>Dam Outlet Reconstruction</t>
  </si>
  <si>
    <t>24" HDPE Pipe</t>
  </si>
  <si>
    <t>Headwall</t>
  </si>
  <si>
    <t>Pump Vault</t>
  </si>
  <si>
    <t>18" HDPE Pipe</t>
  </si>
  <si>
    <t>Pier</t>
  </si>
  <si>
    <t>Utility Outlet Reconstruction</t>
  </si>
  <si>
    <t>Diversion Reconstruction</t>
  </si>
  <si>
    <t>Concrete</t>
  </si>
  <si>
    <t>Gates</t>
  </si>
  <si>
    <t>Excavation and Backfill</t>
  </si>
  <si>
    <t>Headwalls</t>
  </si>
  <si>
    <t>Mapleton</t>
  </si>
  <si>
    <t>Operations per ERC</t>
  </si>
  <si>
    <t>Salem</t>
  </si>
  <si>
    <t>Reserves</t>
  </si>
  <si>
    <t>Projected Inflation</t>
  </si>
  <si>
    <t>Projected Interest Earnings</t>
  </si>
  <si>
    <t>Yearly Balance</t>
  </si>
  <si>
    <t>Prepared by: Joshua Prettyman, PE</t>
  </si>
  <si>
    <t>Rate Increase Cycle (Years)</t>
  </si>
  <si>
    <t>Equivalent Residential Connections</t>
  </si>
  <si>
    <t>Interest on Reserves</t>
  </si>
  <si>
    <t>Projected costs for infrastructure based on 2026 dollars. Project costs are inflated to future year.</t>
  </si>
  <si>
    <t>ATTACHMENT A - CITY BUDGET AND RATE SOURCES</t>
  </si>
  <si>
    <t>ATTACHMENT B - PROJECT ESTIMATES</t>
  </si>
  <si>
    <t>ATTACHMENT C1 - POTABLE RATE MODEL</t>
  </si>
  <si>
    <t>ATTACHMENT C2 - IRRIGATION RATE MODEL</t>
  </si>
  <si>
    <t>Total Water</t>
  </si>
  <si>
    <t>Total Irrigation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</si>
</sst>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8"/>
      <color theme="9"/>
      <name val="Aptos Display"/>
      <family val="2"/>
      <scheme val="major"/>
    </font>
    <font>
      <b/>
      <sz val="14"/>
      <color theme="3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b/>
      <sz val="11"/>
      <color theme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0.59999389629810485"/>
        <bgColor indexed="64"/>
      </patternFill>
    </fill>
    <fill>
      <patternFill patternType="solid">
        <fgColor theme="0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theme="3"/>
      </top>
      <bottom style="thin">
        <color theme="3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/>
      <top/>
      <bottom style="thick">
        <color theme="9"/>
      </bottom>
      <diagonal/>
    </border>
    <border>
      <left/>
      <right/>
      <top style="thick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 style="thin">
        <color theme="9" tint="0.59996337778862885"/>
      </bottom>
      <diagonal/>
    </border>
    <border>
      <left/>
      <right/>
      <top style="thin">
        <color theme="9"/>
      </top>
      <bottom style="medium">
        <color indexed="64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1" applyNumberFormat="0" applyFill="0" applyBorder="0" applyAlignment="0" applyProtection="0"/>
    <xf numFmtId="0" fontId="1" fillId="0" borderId="2" applyNumberFormat="0" applyFont="0" applyFill="0" applyAlignment="0" applyProtection="0"/>
    <xf numFmtId="0" fontId="6" fillId="2" borderId="3" applyNumberFormat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4" fillId="0" borderId="0" xfId="1"/>
    <xf numFmtId="0" fontId="3" fillId="0" borderId="0" xfId="6"/>
    <xf numFmtId="44" fontId="0" fillId="0" borderId="0" xfId="8" applyFont="1"/>
    <xf numFmtId="164" fontId="0" fillId="0" borderId="0" xfId="7" applyNumberFormat="1" applyFont="1"/>
    <xf numFmtId="1" fontId="0" fillId="0" borderId="0" xfId="8" applyNumberFormat="1" applyFont="1"/>
    <xf numFmtId="165" fontId="3" fillId="0" borderId="0" xfId="8" applyNumberFormat="1" applyFont="1"/>
    <xf numFmtId="165" fontId="0" fillId="0" borderId="0" xfId="8" applyNumberFormat="1" applyFont="1"/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0" fontId="2" fillId="0" borderId="4" xfId="10" applyBorder="1" applyAlignment="1">
      <alignment wrapText="1"/>
    </xf>
    <xf numFmtId="1" fontId="0" fillId="0" borderId="5" xfId="0" applyNumberFormat="1" applyBorder="1"/>
    <xf numFmtId="164" fontId="0" fillId="0" borderId="6" xfId="7" applyNumberFormat="1" applyFont="1" applyBorder="1"/>
    <xf numFmtId="1" fontId="0" fillId="0" borderId="6" xfId="8" applyNumberFormat="1" applyFont="1" applyBorder="1"/>
    <xf numFmtId="165" fontId="0" fillId="0" borderId="6" xfId="8" applyNumberFormat="1" applyFont="1" applyBorder="1"/>
    <xf numFmtId="44" fontId="0" fillId="0" borderId="6" xfId="8" applyFont="1" applyBorder="1"/>
    <xf numFmtId="165" fontId="0" fillId="3" borderId="6" xfId="0" applyNumberFormat="1" applyFill="1" applyBorder="1"/>
    <xf numFmtId="165" fontId="0" fillId="0" borderId="6" xfId="0" applyNumberFormat="1" applyBorder="1"/>
    <xf numFmtId="0" fontId="0" fillId="0" borderId="6" xfId="0" applyBorder="1"/>
    <xf numFmtId="1" fontId="0" fillId="4" borderId="5" xfId="0" applyNumberFormat="1" applyFill="1" applyBorder="1"/>
    <xf numFmtId="164" fontId="0" fillId="4" borderId="6" xfId="7" applyNumberFormat="1" applyFont="1" applyFill="1" applyBorder="1"/>
    <xf numFmtId="1" fontId="0" fillId="4" borderId="6" xfId="8" applyNumberFormat="1" applyFont="1" applyFill="1" applyBorder="1"/>
    <xf numFmtId="165" fontId="0" fillId="4" borderId="6" xfId="8" applyNumberFormat="1" applyFont="1" applyFill="1" applyBorder="1"/>
    <xf numFmtId="44" fontId="0" fillId="4" borderId="6" xfId="8" applyFont="1" applyFill="1" applyBorder="1"/>
    <xf numFmtId="165" fontId="0" fillId="4" borderId="6" xfId="0" applyNumberFormat="1" applyFill="1" applyBorder="1"/>
    <xf numFmtId="0" fontId="0" fillId="4" borderId="6" xfId="0" applyFill="1" applyBorder="1"/>
    <xf numFmtId="2" fontId="4" fillId="0" borderId="0" xfId="1" applyNumberFormat="1"/>
    <xf numFmtId="2" fontId="3" fillId="0" borderId="0" xfId="6" applyNumberFormat="1"/>
    <xf numFmtId="2" fontId="2" fillId="0" borderId="4" xfId="10" applyNumberFormat="1" applyBorder="1" applyAlignment="1">
      <alignment wrapText="1"/>
    </xf>
    <xf numFmtId="1" fontId="0" fillId="0" borderId="0" xfId="0" applyNumberFormat="1" applyAlignment="1">
      <alignment horizontal="left"/>
    </xf>
    <xf numFmtId="1" fontId="4" fillId="0" borderId="0" xfId="1" applyNumberFormat="1" applyAlignment="1">
      <alignment horizontal="left"/>
    </xf>
    <xf numFmtId="1" fontId="3" fillId="0" borderId="0" xfId="6" applyNumberFormat="1" applyAlignment="1">
      <alignment horizontal="left"/>
    </xf>
    <xf numFmtId="165" fontId="4" fillId="0" borderId="0" xfId="8" applyNumberFormat="1" applyFont="1"/>
    <xf numFmtId="165" fontId="2" fillId="0" borderId="4" xfId="8" applyNumberFormat="1" applyFont="1" applyBorder="1" applyAlignment="1">
      <alignment wrapText="1"/>
    </xf>
    <xf numFmtId="1" fontId="0" fillId="4" borderId="7" xfId="7" applyNumberFormat="1" applyFont="1" applyFill="1" applyBorder="1" applyAlignment="1">
      <alignment horizontal="left"/>
    </xf>
    <xf numFmtId="164" fontId="0" fillId="0" borderId="7" xfId="7" applyNumberFormat="1" applyFont="1" applyBorder="1"/>
    <xf numFmtId="165" fontId="0" fillId="4" borderId="7" xfId="8" applyNumberFormat="1" applyFont="1" applyFill="1" applyBorder="1"/>
    <xf numFmtId="165" fontId="0" fillId="0" borderId="7" xfId="8" applyNumberFormat="1" applyFont="1" applyBorder="1"/>
    <xf numFmtId="165" fontId="0" fillId="0" borderId="8" xfId="8" applyNumberFormat="1" applyFont="1" applyBorder="1"/>
    <xf numFmtId="165" fontId="0" fillId="4" borderId="8" xfId="8" applyNumberFormat="1" applyFont="1" applyFill="1" applyBorder="1"/>
    <xf numFmtId="164" fontId="0" fillId="0" borderId="8" xfId="7" applyNumberFormat="1" applyFont="1" applyBorder="1"/>
    <xf numFmtId="1" fontId="0" fillId="4" borderId="9" xfId="8" applyNumberFormat="1" applyFont="1" applyFill="1" applyBorder="1" applyAlignment="1">
      <alignment horizontal="left"/>
    </xf>
    <xf numFmtId="1" fontId="0" fillId="0" borderId="9" xfId="8" applyNumberFormat="1" applyFont="1" applyBorder="1"/>
    <xf numFmtId="165" fontId="0" fillId="4" borderId="9" xfId="8" applyNumberFormat="1" applyFont="1" applyFill="1" applyBorder="1"/>
    <xf numFmtId="165" fontId="0" fillId="0" borderId="9" xfId="8" applyNumberFormat="1" applyFont="1" applyBorder="1"/>
    <xf numFmtId="44" fontId="0" fillId="0" borderId="9" xfId="8" applyFont="1" applyBorder="1"/>
    <xf numFmtId="165" fontId="0" fillId="0" borderId="9" xfId="0" applyNumberFormat="1" applyBorder="1"/>
    <xf numFmtId="0" fontId="0" fillId="0" borderId="9" xfId="0" applyBorder="1"/>
    <xf numFmtId="0" fontId="0" fillId="0" borderId="0" xfId="0" applyAlignment="1">
      <alignment horizontal="center"/>
    </xf>
    <xf numFmtId="0" fontId="4" fillId="0" borderId="0" xfId="1" applyAlignment="1">
      <alignment horizontal="center"/>
    </xf>
    <xf numFmtId="0" fontId="3" fillId="0" borderId="0" xfId="6" applyAlignment="1">
      <alignment horizontal="center"/>
    </xf>
    <xf numFmtId="0" fontId="2" fillId="0" borderId="4" xfId="10" applyBorder="1" applyAlignment="1">
      <alignment horizontal="center" wrapText="1"/>
    </xf>
    <xf numFmtId="1" fontId="7" fillId="4" borderId="5" xfId="0" applyNumberFormat="1" applyFont="1" applyFill="1" applyBorder="1"/>
    <xf numFmtId="164" fontId="0" fillId="0" borderId="6" xfId="7" applyNumberFormat="1" applyFont="1" applyFill="1" applyBorder="1"/>
    <xf numFmtId="2" fontId="0" fillId="0" borderId="6" xfId="7" applyNumberFormat="1" applyFont="1" applyFill="1" applyBorder="1"/>
    <xf numFmtId="164" fontId="0" fillId="0" borderId="6" xfId="7" applyNumberFormat="1" applyFont="1" applyFill="1" applyBorder="1" applyAlignment="1">
      <alignment horizontal="center"/>
    </xf>
    <xf numFmtId="1" fontId="0" fillId="0" borderId="6" xfId="8" applyNumberFormat="1" applyFont="1" applyFill="1" applyBorder="1"/>
    <xf numFmtId="2" fontId="0" fillId="0" borderId="6" xfId="8" applyNumberFormat="1" applyFont="1" applyFill="1" applyBorder="1"/>
    <xf numFmtId="1" fontId="0" fillId="0" borderId="6" xfId="8" applyNumberFormat="1" applyFont="1" applyFill="1" applyBorder="1" applyAlignment="1">
      <alignment horizontal="center"/>
    </xf>
    <xf numFmtId="165" fontId="0" fillId="0" borderId="6" xfId="8" applyNumberFormat="1" applyFont="1" applyFill="1" applyBorder="1"/>
    <xf numFmtId="9" fontId="0" fillId="0" borderId="6" xfId="9" applyFont="1" applyFill="1" applyBorder="1"/>
    <xf numFmtId="165" fontId="0" fillId="0" borderId="6" xfId="8" applyNumberFormat="1" applyFont="1" applyFill="1" applyBorder="1" applyAlignment="1">
      <alignment horizontal="center"/>
    </xf>
    <xf numFmtId="1" fontId="0" fillId="0" borderId="6" xfId="7" applyNumberFormat="1" applyFont="1" applyFill="1" applyBorder="1"/>
    <xf numFmtId="2" fontId="7" fillId="4" borderId="5" xfId="0" applyNumberFormat="1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2" fontId="4" fillId="0" borderId="0" xfId="1" applyNumberFormat="1" applyAlignment="1">
      <alignment horizontal="left"/>
    </xf>
    <xf numFmtId="2" fontId="3" fillId="0" borderId="0" xfId="6" applyNumberFormat="1" applyAlignment="1">
      <alignment horizontal="left"/>
    </xf>
    <xf numFmtId="2" fontId="2" fillId="0" borderId="4" xfId="10" applyNumberFormat="1" applyBorder="1" applyAlignment="1">
      <alignment horizontal="left" wrapText="1"/>
    </xf>
    <xf numFmtId="2" fontId="0" fillId="0" borderId="6" xfId="7" applyNumberFormat="1" applyFont="1" applyFill="1" applyBorder="1" applyAlignment="1">
      <alignment horizontal="left"/>
    </xf>
    <xf numFmtId="165" fontId="7" fillId="4" borderId="5" xfId="8" applyNumberFormat="1" applyFont="1" applyFill="1" applyBorder="1" applyAlignment="1"/>
    <xf numFmtId="2" fontId="0" fillId="0" borderId="10" xfId="7" applyNumberFormat="1" applyFont="1" applyFill="1" applyBorder="1" applyAlignment="1">
      <alignment horizontal="left"/>
    </xf>
    <xf numFmtId="165" fontId="0" fillId="0" borderId="10" xfId="8" applyNumberFormat="1" applyFont="1" applyFill="1" applyBorder="1"/>
    <xf numFmtId="9" fontId="0" fillId="0" borderId="10" xfId="9" applyFont="1" applyFill="1" applyBorder="1"/>
    <xf numFmtId="165" fontId="0" fillId="0" borderId="10" xfId="8" applyNumberFormat="1" applyFont="1" applyFill="1" applyBorder="1" applyAlignment="1">
      <alignment horizontal="center"/>
    </xf>
    <xf numFmtId="0" fontId="2" fillId="0" borderId="0" xfId="10" applyFill="1" applyBorder="1" applyAlignment="1">
      <alignment wrapText="1"/>
    </xf>
    <xf numFmtId="43" fontId="0" fillId="0" borderId="0" xfId="0" applyNumberFormat="1"/>
    <xf numFmtId="44" fontId="0" fillId="0" borderId="6" xfId="0" applyNumberFormat="1" applyBorder="1"/>
    <xf numFmtId="44" fontId="4" fillId="0" borderId="0" xfId="8" applyFont="1"/>
    <xf numFmtId="44" fontId="3" fillId="0" borderId="0" xfId="8" applyFont="1"/>
    <xf numFmtId="44" fontId="0" fillId="0" borderId="8" xfId="8" applyFont="1" applyBorder="1"/>
    <xf numFmtId="44" fontId="0" fillId="0" borderId="0" xfId="0" applyNumberFormat="1"/>
    <xf numFmtId="44" fontId="2" fillId="0" borderId="4" xfId="8" applyFont="1" applyBorder="1" applyAlignment="1">
      <alignment wrapText="1"/>
    </xf>
    <xf numFmtId="44" fontId="0" fillId="4" borderId="9" xfId="8" applyFont="1" applyFill="1" applyBorder="1"/>
    <xf numFmtId="44" fontId="0" fillId="4" borderId="8" xfId="8" applyFont="1" applyFill="1" applyBorder="1"/>
    <xf numFmtId="166" fontId="0" fillId="0" borderId="0" xfId="9" applyNumberFormat="1" applyFont="1"/>
    <xf numFmtId="165" fontId="0" fillId="0" borderId="0" xfId="8" applyNumberFormat="1" applyFont="1" applyFill="1"/>
    <xf numFmtId="1" fontId="2" fillId="0" borderId="4" xfId="10" applyNumberFormat="1" applyBorder="1" applyAlignment="1">
      <alignment horizontal="center" wrapText="1"/>
    </xf>
  </cellXfs>
  <cellStyles count="11">
    <cellStyle name="Comma" xfId="7" builtinId="3"/>
    <cellStyle name="Currency" xfId="8" builtinId="4"/>
    <cellStyle name="Explanatory Text" xfId="6" builtinId="53"/>
    <cellStyle name="Heading 1" xfId="2" builtinId="16" customBuiltin="1"/>
    <cellStyle name="Heading 2" xfId="3" builtinId="17" customBuiltin="1"/>
    <cellStyle name="Heading 4" xfId="10" builtinId="19"/>
    <cellStyle name="Input" xfId="4" builtinId="20" customBuiltin="1"/>
    <cellStyle name="Normal" xfId="0" builtinId="0"/>
    <cellStyle name="Output" xfId="5" builtinId="21" customBuiltin="1"/>
    <cellStyle name="Percent" xfId="9" builtinId="5"/>
    <cellStyle name="Title" xfId="1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228600</xdr:colOff>
      <xdr:row>0</xdr:row>
      <xdr:rowOff>1085582</xdr:rowOff>
    </xdr:to>
    <xdr:pic>
      <xdr:nvPicPr>
        <xdr:cNvPr id="4" name="Picture 3" descr="A screenshot of a computer&#10;&#10;Description automatically generated with medium confidence">
          <a:extLst>
            <a:ext uri="{FF2B5EF4-FFF2-40B4-BE49-F238E27FC236}">
              <a16:creationId xmlns:a16="http://schemas.microsoft.com/office/drawing/2014/main" id="{FD36B083-3FE7-3C09-4197-07CD94DC9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3" r="11571"/>
        <a:stretch>
          <a:fillRect/>
        </a:stretch>
      </xdr:blipFill>
      <xdr:spPr>
        <a:xfrm>
          <a:off x="0" y="0"/>
          <a:ext cx="5943600" cy="1095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1003935</xdr:colOff>
      <xdr:row>0</xdr:row>
      <xdr:rowOff>1087305</xdr:rowOff>
    </xdr:to>
    <xdr:pic>
      <xdr:nvPicPr>
        <xdr:cNvPr id="2" name="Picture 1" descr="A screenshot of a computer&#10;&#10;Description automatically generated with medium confidence">
          <a:extLst>
            <a:ext uri="{FF2B5EF4-FFF2-40B4-BE49-F238E27FC236}">
              <a16:creationId xmlns:a16="http://schemas.microsoft.com/office/drawing/2014/main" id="{ACDA2DFC-1C46-4EFD-B30C-393959BA5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3" r="11571"/>
        <a:stretch>
          <a:fillRect/>
        </a:stretch>
      </xdr:blipFill>
      <xdr:spPr>
        <a:xfrm>
          <a:off x="0" y="0"/>
          <a:ext cx="5852160" cy="10873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363855</xdr:colOff>
      <xdr:row>0</xdr:row>
      <xdr:rowOff>1082157</xdr:rowOff>
    </xdr:to>
    <xdr:pic>
      <xdr:nvPicPr>
        <xdr:cNvPr id="2" name="Picture 1" descr="A screenshot of a computer&#10;&#10;Description automatically generated with medium confidence">
          <a:extLst>
            <a:ext uri="{FF2B5EF4-FFF2-40B4-BE49-F238E27FC236}">
              <a16:creationId xmlns:a16="http://schemas.microsoft.com/office/drawing/2014/main" id="{66224167-71B5-4760-B0A2-7E5CF2B9F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3" r="11571"/>
        <a:stretch>
          <a:fillRect/>
        </a:stretch>
      </xdr:blipFill>
      <xdr:spPr>
        <a:xfrm>
          <a:off x="0" y="0"/>
          <a:ext cx="5852160" cy="10726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363855</xdr:colOff>
      <xdr:row>0</xdr:row>
      <xdr:rowOff>1082157</xdr:rowOff>
    </xdr:to>
    <xdr:pic>
      <xdr:nvPicPr>
        <xdr:cNvPr id="2" name="Picture 1" descr="A screenshot of a computer&#10;&#10;Description automatically generated with medium confidence">
          <a:extLst>
            <a:ext uri="{FF2B5EF4-FFF2-40B4-BE49-F238E27FC236}">
              <a16:creationId xmlns:a16="http://schemas.microsoft.com/office/drawing/2014/main" id="{40F4AB93-438F-48DE-B9C9-87B98A5EC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3" r="11571"/>
        <a:stretch>
          <a:fillRect/>
        </a:stretch>
      </xdr:blipFill>
      <xdr:spPr>
        <a:xfrm>
          <a:off x="0" y="0"/>
          <a:ext cx="5846445" cy="10859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363855</xdr:colOff>
      <xdr:row>0</xdr:row>
      <xdr:rowOff>1082157</xdr:rowOff>
    </xdr:to>
    <xdr:pic>
      <xdr:nvPicPr>
        <xdr:cNvPr id="2" name="Picture 1" descr="A screenshot of a computer&#10;&#10;Description automatically generated with medium confidence">
          <a:extLst>
            <a:ext uri="{FF2B5EF4-FFF2-40B4-BE49-F238E27FC236}">
              <a16:creationId xmlns:a16="http://schemas.microsoft.com/office/drawing/2014/main" id="{0EF5D547-179C-4643-8086-AC5BBA88C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3" r="11571"/>
        <a:stretch>
          <a:fillRect/>
        </a:stretch>
      </xdr:blipFill>
      <xdr:spPr>
        <a:xfrm>
          <a:off x="0" y="0"/>
          <a:ext cx="5850255" cy="1082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Horrocks">
      <a:dk1>
        <a:sysClr val="windowText" lastClr="000000"/>
      </a:dk1>
      <a:lt1>
        <a:srgbClr val="CCCCCB"/>
      </a:lt1>
      <a:dk2>
        <a:srgbClr val="F47A20"/>
      </a:dk2>
      <a:lt2>
        <a:srgbClr val="FFFFFF"/>
      </a:lt2>
      <a:accent1>
        <a:srgbClr val="CCCCCB"/>
      </a:accent1>
      <a:accent2>
        <a:srgbClr val="FAA43A"/>
      </a:accent2>
      <a:accent3>
        <a:srgbClr val="6E6F72"/>
      </a:accent3>
      <a:accent4>
        <a:srgbClr val="F47A20"/>
      </a:accent4>
      <a:accent5>
        <a:srgbClr val="C06435"/>
      </a:accent5>
      <a:accent6>
        <a:srgbClr val="2F4B5D"/>
      </a:accent6>
      <a:hlink>
        <a:srgbClr val="597AAA"/>
      </a:hlink>
      <a:folHlink>
        <a:srgbClr val="771216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D6EE-D424-4F4A-8775-7237D130CE32}">
  <dimension ref="A1:L21"/>
  <sheetViews>
    <sheetView tabSelected="1" view="pageLayout" zoomScaleNormal="100" workbookViewId="0">
      <selection activeCell="G4" sqref="G4"/>
    </sheetView>
  </sheetViews>
  <sheetFormatPr defaultColWidth="8.88671875" defaultRowHeight="18" customHeight="1" x14ac:dyDescent="0.3"/>
  <cols>
    <col min="1" max="1" width="19.109375" customWidth="1"/>
    <col min="2" max="4" width="9.5546875" customWidth="1"/>
    <col min="5" max="5" width="12.77734375" customWidth="1"/>
    <col min="6" max="9" width="9.5546875" customWidth="1"/>
    <col min="10" max="10" width="13.44140625" customWidth="1"/>
    <col min="11" max="11" width="12.21875" bestFit="1" customWidth="1"/>
    <col min="12" max="12" width="11.21875" bestFit="1" customWidth="1"/>
  </cols>
  <sheetData>
    <row r="1" spans="1:12" ht="86.4" customHeight="1" x14ac:dyDescent="0.3"/>
    <row r="2" spans="1:12" s="1" customFormat="1" ht="21.6" customHeight="1" x14ac:dyDescent="0.45">
      <c r="A2" s="1" t="s">
        <v>97</v>
      </c>
    </row>
    <row r="3" spans="1:12" s="2" customFormat="1" ht="18" customHeight="1" x14ac:dyDescent="0.3">
      <c r="A3" s="2" t="s">
        <v>0</v>
      </c>
    </row>
    <row r="4" spans="1:12" s="2" customFormat="1" ht="18" customHeight="1" x14ac:dyDescent="0.3">
      <c r="A4" s="32" t="str">
        <f ca="1">"Date: "&amp;TEXT(TODAY(),"DD MMMM YYYY")</f>
        <v>Date: 16 July 2026</v>
      </c>
    </row>
    <row r="5" spans="1:12" s="2" customFormat="1" ht="18" customHeight="1" x14ac:dyDescent="0.3">
      <c r="A5" s="32" t="s">
        <v>92</v>
      </c>
    </row>
    <row r="6" spans="1:12" ht="18" customHeight="1" x14ac:dyDescent="0.3">
      <c r="K6" s="76"/>
    </row>
    <row r="7" spans="1:12" ht="29.4" thickBot="1" x14ac:dyDescent="0.35">
      <c r="A7" s="11" t="s">
        <v>1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22</v>
      </c>
      <c r="K7" s="75" t="s">
        <v>85</v>
      </c>
      <c r="L7" s="11" t="s">
        <v>87</v>
      </c>
    </row>
    <row r="8" spans="1:12" s="9" customFormat="1" ht="18" customHeight="1" thickTop="1" x14ac:dyDescent="0.3">
      <c r="A8" s="17" t="s">
        <v>3</v>
      </c>
      <c r="B8" s="12">
        <v>224</v>
      </c>
      <c r="C8" s="20">
        <v>360</v>
      </c>
      <c r="D8" s="12">
        <v>460</v>
      </c>
      <c r="E8" s="20">
        <v>1050</v>
      </c>
      <c r="F8" s="12">
        <v>510</v>
      </c>
      <c r="G8" s="20">
        <v>130</v>
      </c>
      <c r="H8" s="12">
        <v>478</v>
      </c>
      <c r="I8" s="20">
        <v>50</v>
      </c>
      <c r="J8" s="12">
        <v>50</v>
      </c>
      <c r="K8" s="20">
        <v>4042</v>
      </c>
      <c r="L8" s="12">
        <v>6429</v>
      </c>
    </row>
    <row r="9" spans="1:12" s="4" customFormat="1" ht="18" customHeight="1" x14ac:dyDescent="0.3">
      <c r="A9" s="17" t="s">
        <v>2</v>
      </c>
      <c r="B9" s="13">
        <v>624</v>
      </c>
      <c r="C9" s="21">
        <v>1000</v>
      </c>
      <c r="D9" s="13">
        <v>1600</v>
      </c>
      <c r="E9" s="21">
        <v>3700</v>
      </c>
      <c r="F9" s="13">
        <v>1500</v>
      </c>
      <c r="G9" s="21">
        <v>400</v>
      </c>
      <c r="H9" s="13">
        <v>1100</v>
      </c>
      <c r="I9" s="21">
        <v>150</v>
      </c>
      <c r="J9" s="13">
        <v>150</v>
      </c>
      <c r="K9" s="21">
        <v>17100</v>
      </c>
      <c r="L9" s="13">
        <v>9300</v>
      </c>
    </row>
    <row r="10" spans="1:12" s="5" customFormat="1" ht="18" customHeight="1" x14ac:dyDescent="0.3">
      <c r="A10" s="17" t="s">
        <v>20</v>
      </c>
      <c r="B10" s="14">
        <v>2026</v>
      </c>
      <c r="C10" s="22">
        <v>2015</v>
      </c>
      <c r="D10" s="14">
        <v>2026</v>
      </c>
      <c r="E10" s="22">
        <v>2025</v>
      </c>
      <c r="F10" s="14">
        <v>2027</v>
      </c>
      <c r="G10" s="22">
        <v>2017</v>
      </c>
      <c r="H10" s="14">
        <v>2026</v>
      </c>
      <c r="I10" s="22"/>
      <c r="J10" s="14"/>
      <c r="K10" s="22">
        <v>2024</v>
      </c>
      <c r="L10" s="14">
        <v>2026</v>
      </c>
    </row>
    <row r="11" spans="1:12" s="7" customFormat="1" ht="18" customHeight="1" x14ac:dyDescent="0.3">
      <c r="A11" s="17" t="s">
        <v>13</v>
      </c>
      <c r="B11" s="15"/>
      <c r="C11" s="23">
        <v>75000</v>
      </c>
      <c r="D11" s="15">
        <v>232500</v>
      </c>
      <c r="E11" s="23">
        <v>8038783</v>
      </c>
      <c r="F11" s="15">
        <v>468000</v>
      </c>
      <c r="G11" s="23"/>
      <c r="H11" s="15"/>
      <c r="I11" s="23"/>
      <c r="J11" s="15"/>
      <c r="K11" s="23">
        <v>2500000</v>
      </c>
      <c r="L11" s="15">
        <v>1971203</v>
      </c>
    </row>
    <row r="12" spans="1:12" s="7" customFormat="1" ht="18" customHeight="1" x14ac:dyDescent="0.3">
      <c r="A12" s="17" t="s">
        <v>4</v>
      </c>
      <c r="B12" s="15"/>
      <c r="C12" s="23">
        <v>34250</v>
      </c>
      <c r="D12" s="15">
        <v>202707</v>
      </c>
      <c r="E12" s="23">
        <f>8038783+160000</f>
        <v>8198783</v>
      </c>
      <c r="F12" s="15">
        <v>424400</v>
      </c>
      <c r="G12" s="23"/>
      <c r="H12" s="15"/>
      <c r="I12" s="23"/>
      <c r="J12" s="15"/>
      <c r="K12" s="23">
        <f>2315816</f>
        <v>2315816</v>
      </c>
      <c r="L12" s="15">
        <v>984303</v>
      </c>
    </row>
    <row r="13" spans="1:12" s="7" customFormat="1" ht="18" customHeight="1" x14ac:dyDescent="0.3">
      <c r="A13" s="17" t="s">
        <v>86</v>
      </c>
      <c r="B13" s="15" cm="1">
        <f t="array" ref="B13:J13">B12:J12/B8:J8</f>
        <v>0</v>
      </c>
      <c r="C13" s="23">
        <v>95.138888888888886</v>
      </c>
      <c r="D13" s="15">
        <v>440.6673913043478</v>
      </c>
      <c r="E13" s="23">
        <v>7808.3647619047615</v>
      </c>
      <c r="F13" s="15">
        <v>832.15686274509801</v>
      </c>
      <c r="G13" s="23">
        <v>0</v>
      </c>
      <c r="H13" s="15">
        <v>0</v>
      </c>
      <c r="I13" s="23">
        <v>0</v>
      </c>
      <c r="J13" s="15">
        <v>0</v>
      </c>
      <c r="K13" s="23">
        <f>K12/K8</f>
        <v>572.93814943097482</v>
      </c>
      <c r="L13" s="15">
        <f>L12/L8</f>
        <v>153.10359309379373</v>
      </c>
    </row>
    <row r="14" spans="1:12" s="3" customFormat="1" ht="18" customHeight="1" x14ac:dyDescent="0.3">
      <c r="A14" s="17" t="s">
        <v>21</v>
      </c>
      <c r="B14" s="16">
        <v>103.5</v>
      </c>
      <c r="C14" s="24">
        <v>35</v>
      </c>
      <c r="D14" s="16">
        <v>39.5</v>
      </c>
      <c r="E14" s="24">
        <v>33</v>
      </c>
      <c r="F14" s="16">
        <v>24</v>
      </c>
      <c r="G14" s="24"/>
      <c r="H14" s="16">
        <v>31</v>
      </c>
      <c r="I14" s="24">
        <v>60</v>
      </c>
      <c r="J14" s="16">
        <v>82</v>
      </c>
      <c r="K14" s="24">
        <v>25</v>
      </c>
      <c r="L14" s="16">
        <v>26.83</v>
      </c>
    </row>
    <row r="15" spans="1:12" s="3" customFormat="1" ht="18" customHeight="1" x14ac:dyDescent="0.3">
      <c r="A15" s="17" t="s">
        <v>14</v>
      </c>
      <c r="B15" s="16">
        <v>12.15</v>
      </c>
      <c r="C15" s="24"/>
      <c r="D15" s="16">
        <v>1.5</v>
      </c>
      <c r="E15" s="24">
        <v>1.4</v>
      </c>
      <c r="F15" s="16">
        <v>9.25</v>
      </c>
      <c r="G15" s="24">
        <v>1.5</v>
      </c>
      <c r="H15" s="16">
        <v>1.25</v>
      </c>
      <c r="I15" s="24">
        <v>2.5</v>
      </c>
      <c r="J15" s="16">
        <v>2.5</v>
      </c>
      <c r="K15" s="24">
        <v>2.75</v>
      </c>
      <c r="L15" s="16">
        <v>2.25</v>
      </c>
    </row>
    <row r="16" spans="1:12" s="3" customFormat="1" ht="18" customHeight="1" x14ac:dyDescent="0.3">
      <c r="A16" s="17" t="s">
        <v>15</v>
      </c>
      <c r="B16" s="16">
        <v>21</v>
      </c>
      <c r="C16" s="24"/>
      <c r="D16" s="16">
        <v>1.75</v>
      </c>
      <c r="E16" s="24">
        <v>2</v>
      </c>
      <c r="F16" s="16">
        <v>9.75</v>
      </c>
      <c r="G16" s="24">
        <v>1.75</v>
      </c>
      <c r="H16" s="16">
        <v>1.75</v>
      </c>
      <c r="I16" s="24">
        <v>2.75</v>
      </c>
      <c r="J16" s="16">
        <v>2.75</v>
      </c>
      <c r="K16" s="24">
        <v>3.75</v>
      </c>
      <c r="L16" s="16">
        <v>2.83</v>
      </c>
    </row>
    <row r="17" spans="1:12" s="3" customFormat="1" ht="18" customHeight="1" x14ac:dyDescent="0.3">
      <c r="A17" s="17" t="s">
        <v>16</v>
      </c>
      <c r="B17" s="16">
        <v>30</v>
      </c>
      <c r="C17" s="24"/>
      <c r="D17" s="16">
        <v>2</v>
      </c>
      <c r="E17" s="24">
        <v>2.4</v>
      </c>
      <c r="F17" s="16">
        <v>12</v>
      </c>
      <c r="G17" s="24">
        <v>2.25</v>
      </c>
      <c r="H17" s="16">
        <v>2.25</v>
      </c>
      <c r="I17" s="24"/>
      <c r="J17" s="16"/>
      <c r="K17" s="24">
        <v>4.75</v>
      </c>
      <c r="L17" s="16">
        <v>3.41</v>
      </c>
    </row>
    <row r="18" spans="1:12" s="10" customFormat="1" ht="18" customHeight="1" x14ac:dyDescent="0.3">
      <c r="A18" s="17" t="s">
        <v>17</v>
      </c>
      <c r="B18" s="18"/>
      <c r="C18" s="25"/>
      <c r="D18" s="18"/>
      <c r="E18" s="25">
        <v>285500</v>
      </c>
      <c r="F18" s="18">
        <v>328000</v>
      </c>
      <c r="G18" s="25"/>
      <c r="H18" s="18"/>
      <c r="I18" s="25"/>
      <c r="J18" s="18"/>
      <c r="K18" s="25">
        <v>1120000</v>
      </c>
      <c r="L18" s="18">
        <f>3071694-(691774+50000+48574)</f>
        <v>2281346</v>
      </c>
    </row>
    <row r="19" spans="1:12" s="10" customFormat="1" ht="18" customHeight="1" x14ac:dyDescent="0.3">
      <c r="A19" s="17" t="s">
        <v>18</v>
      </c>
      <c r="B19" s="18"/>
      <c r="C19" s="25"/>
      <c r="D19" s="18"/>
      <c r="E19" s="25">
        <v>285500</v>
      </c>
      <c r="F19" s="18">
        <v>333300</v>
      </c>
      <c r="G19" s="25"/>
      <c r="H19" s="18"/>
      <c r="I19" s="25"/>
      <c r="J19" s="18"/>
      <c r="K19" s="25">
        <f>1315828+68932</f>
        <v>1384760</v>
      </c>
      <c r="L19" s="18">
        <v>1571888</v>
      </c>
    </row>
    <row r="20" spans="1:12" s="10" customFormat="1" ht="18" customHeight="1" x14ac:dyDescent="0.3">
      <c r="A20" s="17" t="s">
        <v>86</v>
      </c>
      <c r="B20" s="18">
        <f>B19/B8</f>
        <v>0</v>
      </c>
      <c r="C20" s="25">
        <f t="shared" ref="C20:L20" si="0">C19/C8</f>
        <v>0</v>
      </c>
      <c r="D20" s="18">
        <f t="shared" si="0"/>
        <v>0</v>
      </c>
      <c r="E20" s="25">
        <f t="shared" si="0"/>
        <v>271.90476190476193</v>
      </c>
      <c r="F20" s="18">
        <f t="shared" si="0"/>
        <v>653.52941176470586</v>
      </c>
      <c r="G20" s="25">
        <f t="shared" si="0"/>
        <v>0</v>
      </c>
      <c r="H20" s="18">
        <f t="shared" si="0"/>
        <v>0</v>
      </c>
      <c r="I20" s="25">
        <f t="shared" si="0"/>
        <v>0</v>
      </c>
      <c r="J20" s="18">
        <f t="shared" si="0"/>
        <v>0</v>
      </c>
      <c r="K20" s="25">
        <f t="shared" si="0"/>
        <v>342.59277585353783</v>
      </c>
      <c r="L20" s="18">
        <f t="shared" si="0"/>
        <v>244.49961113703532</v>
      </c>
    </row>
    <row r="21" spans="1:12" ht="18" customHeight="1" x14ac:dyDescent="0.3">
      <c r="A21" s="17" t="s">
        <v>19</v>
      </c>
      <c r="B21" s="19"/>
      <c r="C21" s="26"/>
      <c r="D21" s="19"/>
      <c r="E21" s="26"/>
      <c r="F21" s="16">
        <v>35</v>
      </c>
      <c r="G21" s="26"/>
      <c r="H21" s="19"/>
      <c r="I21" s="26"/>
      <c r="J21" s="19"/>
      <c r="K21" s="25">
        <v>23</v>
      </c>
      <c r="L21" s="77">
        <v>30.43</v>
      </c>
    </row>
  </sheetData>
  <pageMargins left="1" right="1" top="0" bottom="1" header="0" footer="0.5"/>
  <pageSetup paperSize="3" orientation="landscape" r:id="rId1"/>
  <headerFooter>
    <oddFooter>&amp;L&amp;Z&amp;F&amp;RPage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43995-6139-4694-8B6C-5CE624C4179F}">
  <dimension ref="A1:F111"/>
  <sheetViews>
    <sheetView view="pageLayout" zoomScaleNormal="100" workbookViewId="0">
      <selection activeCell="A2" sqref="A2"/>
    </sheetView>
  </sheetViews>
  <sheetFormatPr defaultColWidth="8.88671875" defaultRowHeight="18" customHeight="1" x14ac:dyDescent="0.3"/>
  <cols>
    <col min="1" max="1" width="7.6640625" style="65" customWidth="1"/>
    <col min="2" max="2" width="34.44140625" customWidth="1"/>
    <col min="3" max="3" width="9.5546875" style="8" customWidth="1"/>
    <col min="4" max="4" width="6.33203125" style="49" customWidth="1"/>
    <col min="5" max="5" width="9.5546875" style="8" customWidth="1"/>
    <col min="6" max="6" width="14" style="7" customWidth="1"/>
  </cols>
  <sheetData>
    <row r="1" spans="1:6" ht="86.4" customHeight="1" x14ac:dyDescent="0.3"/>
    <row r="2" spans="1:6" s="1" customFormat="1" ht="21.6" customHeight="1" x14ac:dyDescent="0.45">
      <c r="A2" s="66" t="s">
        <v>98</v>
      </c>
      <c r="C2" s="27"/>
      <c r="D2" s="50"/>
      <c r="E2" s="27"/>
      <c r="F2" s="33"/>
    </row>
    <row r="3" spans="1:6" s="2" customFormat="1" ht="18" customHeight="1" x14ac:dyDescent="0.3">
      <c r="A3" s="67" t="s">
        <v>96</v>
      </c>
      <c r="C3" s="28"/>
      <c r="D3" s="51"/>
      <c r="E3" s="28"/>
      <c r="F3" s="6"/>
    </row>
    <row r="4" spans="1:6" s="2" customFormat="1" ht="18" customHeight="1" x14ac:dyDescent="0.3">
      <c r="A4" s="32" t="str">
        <f ca="1">"Date: "&amp;TEXT(TODAY(),"DD MMMM YYYY")</f>
        <v>Date: 16 July 2026</v>
      </c>
      <c r="C4" s="28"/>
      <c r="D4" s="51"/>
      <c r="E4" s="28"/>
      <c r="F4" s="6"/>
    </row>
    <row r="5" spans="1:6" s="2" customFormat="1" ht="18" customHeight="1" x14ac:dyDescent="0.3">
      <c r="A5" s="32" t="s">
        <v>92</v>
      </c>
      <c r="C5" s="28"/>
      <c r="D5" s="51"/>
      <c r="E5" s="28"/>
      <c r="F5" s="6"/>
    </row>
    <row r="6" spans="1:6" s="2" customFormat="1" ht="18" customHeight="1" x14ac:dyDescent="0.3">
      <c r="A6" s="67"/>
      <c r="C6" s="28"/>
      <c r="D6" s="51"/>
      <c r="E6" s="28"/>
      <c r="F6" s="6"/>
    </row>
    <row r="7" spans="1:6" ht="28.8" customHeight="1" thickBot="1" x14ac:dyDescent="0.35">
      <c r="A7" s="68" t="s">
        <v>27</v>
      </c>
      <c r="B7" s="11" t="s">
        <v>23</v>
      </c>
      <c r="C7" s="29" t="s">
        <v>43</v>
      </c>
      <c r="D7" s="52" t="s">
        <v>24</v>
      </c>
      <c r="E7" s="29" t="s">
        <v>26</v>
      </c>
      <c r="F7" s="34" t="s">
        <v>25</v>
      </c>
    </row>
    <row r="8" spans="1:6" s="9" customFormat="1" ht="18" customHeight="1" thickTop="1" x14ac:dyDescent="0.3">
      <c r="A8" s="64">
        <v>1</v>
      </c>
      <c r="B8" s="53" t="s">
        <v>48</v>
      </c>
      <c r="C8" s="53"/>
      <c r="D8" s="53"/>
      <c r="E8" s="53"/>
      <c r="F8" s="70">
        <f>SUM(F9:F12)</f>
        <v>538638.75</v>
      </c>
    </row>
    <row r="9" spans="1:6" s="4" customFormat="1" ht="18" customHeight="1" x14ac:dyDescent="0.3">
      <c r="A9" s="69">
        <v>1.01</v>
      </c>
      <c r="B9" s="54" t="s">
        <v>38</v>
      </c>
      <c r="C9" s="63">
        <v>1885</v>
      </c>
      <c r="D9" s="56" t="s">
        <v>39</v>
      </c>
      <c r="E9" s="55">
        <v>180</v>
      </c>
      <c r="F9" s="60">
        <f>C9*E9</f>
        <v>339300</v>
      </c>
    </row>
    <row r="10" spans="1:6" s="5" customFormat="1" ht="18" customHeight="1" x14ac:dyDescent="0.3">
      <c r="A10" s="69">
        <v>1.02</v>
      </c>
      <c r="B10" s="57" t="s">
        <v>40</v>
      </c>
      <c r="C10" s="57">
        <f>1885*6</f>
        <v>11310</v>
      </c>
      <c r="D10" s="59" t="s">
        <v>44</v>
      </c>
      <c r="E10" s="58">
        <v>7.5</v>
      </c>
      <c r="F10" s="60">
        <f>C10*E10</f>
        <v>84825</v>
      </c>
    </row>
    <row r="11" spans="1:6" s="7" customFormat="1" ht="18" customHeight="1" x14ac:dyDescent="0.3">
      <c r="A11" s="69">
        <v>1.03</v>
      </c>
      <c r="B11" s="60" t="s">
        <v>41</v>
      </c>
      <c r="C11" s="61">
        <v>0.12</v>
      </c>
      <c r="D11" s="62"/>
      <c r="E11" s="61"/>
      <c r="F11" s="60">
        <f>SUM(F9:F10)*C11</f>
        <v>50895</v>
      </c>
    </row>
    <row r="12" spans="1:6" s="7" customFormat="1" ht="18" customHeight="1" thickBot="1" x14ac:dyDescent="0.35">
      <c r="A12" s="69">
        <v>1.04</v>
      </c>
      <c r="B12" s="60" t="s">
        <v>42</v>
      </c>
      <c r="C12" s="61">
        <v>0.15</v>
      </c>
      <c r="D12" s="62"/>
      <c r="E12" s="61"/>
      <c r="F12" s="60">
        <f>SUM(F9:F10)*C12</f>
        <v>63618.75</v>
      </c>
    </row>
    <row r="13" spans="1:6" s="3" customFormat="1" ht="18" customHeight="1" thickTop="1" x14ac:dyDescent="0.3">
      <c r="A13" s="64">
        <v>2</v>
      </c>
      <c r="B13" s="53" t="s">
        <v>49</v>
      </c>
      <c r="C13" s="53"/>
      <c r="D13" s="53"/>
      <c r="E13" s="53"/>
      <c r="F13" s="70">
        <f>SUM(F14:F17)</f>
        <v>448627.5</v>
      </c>
    </row>
    <row r="14" spans="1:6" s="3" customFormat="1" ht="18" customHeight="1" x14ac:dyDescent="0.3">
      <c r="A14" s="69">
        <v>2.0099999999999998</v>
      </c>
      <c r="B14" s="54" t="s">
        <v>38</v>
      </c>
      <c r="C14" s="63">
        <v>1570</v>
      </c>
      <c r="D14" s="56" t="s">
        <v>39</v>
      </c>
      <c r="E14" s="55">
        <v>180</v>
      </c>
      <c r="F14" s="60">
        <f>C14*E14</f>
        <v>282600</v>
      </c>
    </row>
    <row r="15" spans="1:6" s="10" customFormat="1" ht="18" customHeight="1" x14ac:dyDescent="0.3">
      <c r="A15" s="69">
        <v>2.02</v>
      </c>
      <c r="B15" s="57" t="s">
        <v>40</v>
      </c>
      <c r="C15" s="57">
        <f>C14*6</f>
        <v>9420</v>
      </c>
      <c r="D15" s="59" t="s">
        <v>44</v>
      </c>
      <c r="E15" s="58">
        <v>7.5</v>
      </c>
      <c r="F15" s="60">
        <f>C15*E15</f>
        <v>70650</v>
      </c>
    </row>
    <row r="16" spans="1:6" s="10" customFormat="1" ht="18" customHeight="1" x14ac:dyDescent="0.3">
      <c r="A16" s="69">
        <v>2.0299999999999998</v>
      </c>
      <c r="B16" s="60" t="s">
        <v>41</v>
      </c>
      <c r="C16" s="61">
        <v>0.12</v>
      </c>
      <c r="D16" s="62"/>
      <c r="E16" s="61"/>
      <c r="F16" s="60">
        <f>SUM(F14:F15)*C16</f>
        <v>42390</v>
      </c>
    </row>
    <row r="17" spans="1:6" ht="18" customHeight="1" thickBot="1" x14ac:dyDescent="0.35">
      <c r="A17" s="69">
        <v>2.04</v>
      </c>
      <c r="B17" s="60" t="s">
        <v>42</v>
      </c>
      <c r="C17" s="61">
        <v>0.15</v>
      </c>
      <c r="D17" s="62"/>
      <c r="E17" s="61"/>
      <c r="F17" s="60">
        <f>SUM(F14:F15)*C17</f>
        <v>52987.5</v>
      </c>
    </row>
    <row r="18" spans="1:6" ht="18" customHeight="1" thickTop="1" x14ac:dyDescent="0.3">
      <c r="A18" s="64">
        <v>3</v>
      </c>
      <c r="B18" s="53" t="s">
        <v>50</v>
      </c>
      <c r="C18" s="53"/>
      <c r="D18" s="53"/>
      <c r="E18" s="53"/>
      <c r="F18" s="70">
        <f>SUM(F19:F23)</f>
        <v>818038.75</v>
      </c>
    </row>
    <row r="19" spans="1:6" ht="18" customHeight="1" x14ac:dyDescent="0.3">
      <c r="A19" s="69">
        <v>3.01</v>
      </c>
      <c r="B19" s="54" t="s">
        <v>38</v>
      </c>
      <c r="C19" s="63">
        <v>1885</v>
      </c>
      <c r="D19" s="56" t="s">
        <v>39</v>
      </c>
      <c r="E19" s="55">
        <v>180</v>
      </c>
      <c r="F19" s="60">
        <f>C19*E19</f>
        <v>339300</v>
      </c>
    </row>
    <row r="20" spans="1:6" ht="18" customHeight="1" x14ac:dyDescent="0.3">
      <c r="A20" s="69">
        <v>3.02</v>
      </c>
      <c r="B20" s="57" t="s">
        <v>40</v>
      </c>
      <c r="C20" s="57">
        <f>C19*6</f>
        <v>11310</v>
      </c>
      <c r="D20" s="59" t="s">
        <v>44</v>
      </c>
      <c r="E20" s="58">
        <v>7.5</v>
      </c>
      <c r="F20" s="60">
        <f>C20*E20</f>
        <v>84825</v>
      </c>
    </row>
    <row r="21" spans="1:6" ht="18" customHeight="1" x14ac:dyDescent="0.3">
      <c r="A21" s="69">
        <v>3.03</v>
      </c>
      <c r="B21" s="57" t="s">
        <v>45</v>
      </c>
      <c r="C21" s="57">
        <v>1</v>
      </c>
      <c r="D21" s="59" t="s">
        <v>46</v>
      </c>
      <c r="E21" s="58">
        <v>220000</v>
      </c>
      <c r="F21" s="60">
        <f>C21*E21</f>
        <v>220000</v>
      </c>
    </row>
    <row r="22" spans="1:6" ht="18" customHeight="1" x14ac:dyDescent="0.3">
      <c r="A22" s="69">
        <v>3.04</v>
      </c>
      <c r="B22" s="60" t="s">
        <v>41</v>
      </c>
      <c r="C22" s="61">
        <v>0.12</v>
      </c>
      <c r="D22" s="62"/>
      <c r="E22" s="61"/>
      <c r="F22" s="60">
        <f>SUM(F19:F21)*C22</f>
        <v>77295</v>
      </c>
    </row>
    <row r="23" spans="1:6" ht="18" customHeight="1" thickBot="1" x14ac:dyDescent="0.35">
      <c r="A23" s="69">
        <v>3.05</v>
      </c>
      <c r="B23" s="60" t="s">
        <v>42</v>
      </c>
      <c r="C23" s="61">
        <v>0.15</v>
      </c>
      <c r="D23" s="62"/>
      <c r="E23" s="61"/>
      <c r="F23" s="60">
        <f>SUM(F19:F21)*C23</f>
        <v>96618.75</v>
      </c>
    </row>
    <row r="24" spans="1:6" ht="18" customHeight="1" thickTop="1" x14ac:dyDescent="0.3">
      <c r="A24" s="64">
        <v>4</v>
      </c>
      <c r="B24" s="53" t="s">
        <v>47</v>
      </c>
      <c r="C24" s="53"/>
      <c r="D24" s="53"/>
      <c r="E24" s="53"/>
      <c r="F24" s="70">
        <f>SUM(F25:F28)</f>
        <v>464343.75</v>
      </c>
    </row>
    <row r="25" spans="1:6" ht="18" customHeight="1" x14ac:dyDescent="0.3">
      <c r="A25" s="69">
        <v>4.01</v>
      </c>
      <c r="B25" s="54" t="s">
        <v>38</v>
      </c>
      <c r="C25" s="63">
        <v>1625</v>
      </c>
      <c r="D25" s="56" t="s">
        <v>39</v>
      </c>
      <c r="E25" s="55">
        <v>180</v>
      </c>
      <c r="F25" s="60">
        <f>C25*E25</f>
        <v>292500</v>
      </c>
    </row>
    <row r="26" spans="1:6" ht="18" customHeight="1" x14ac:dyDescent="0.3">
      <c r="A26" s="69">
        <v>4.0199999999999996</v>
      </c>
      <c r="B26" s="57" t="s">
        <v>40</v>
      </c>
      <c r="C26" s="57">
        <f>C25*6</f>
        <v>9750</v>
      </c>
      <c r="D26" s="59" t="s">
        <v>44</v>
      </c>
      <c r="E26" s="58">
        <v>7.5</v>
      </c>
      <c r="F26" s="60">
        <f>C26*E26</f>
        <v>73125</v>
      </c>
    </row>
    <row r="27" spans="1:6" ht="18" customHeight="1" x14ac:dyDescent="0.3">
      <c r="A27" s="69">
        <v>4.04</v>
      </c>
      <c r="B27" s="60" t="s">
        <v>41</v>
      </c>
      <c r="C27" s="61">
        <v>0.12</v>
      </c>
      <c r="D27" s="62"/>
      <c r="E27" s="61"/>
      <c r="F27" s="60">
        <f>SUM(F25:F26)*C27</f>
        <v>43875</v>
      </c>
    </row>
    <row r="28" spans="1:6" ht="18" customHeight="1" thickBot="1" x14ac:dyDescent="0.35">
      <c r="A28" s="69">
        <v>4.05</v>
      </c>
      <c r="B28" s="60" t="s">
        <v>42</v>
      </c>
      <c r="C28" s="61">
        <v>0.15</v>
      </c>
      <c r="D28" s="62"/>
      <c r="E28" s="61"/>
      <c r="F28" s="60">
        <f>SUM(F25:F26)*C28</f>
        <v>54843.75</v>
      </c>
    </row>
    <row r="29" spans="1:6" ht="18" customHeight="1" thickTop="1" x14ac:dyDescent="0.3">
      <c r="A29" s="64">
        <v>5</v>
      </c>
      <c r="B29" s="53" t="s">
        <v>51</v>
      </c>
      <c r="C29" s="53"/>
      <c r="D29" s="53"/>
      <c r="E29" s="53"/>
      <c r="F29" s="70">
        <f>SUM(F30:F33)</f>
        <v>464343.75</v>
      </c>
    </row>
    <row r="30" spans="1:6" ht="18" customHeight="1" x14ac:dyDescent="0.3">
      <c r="A30" s="69">
        <v>5.01</v>
      </c>
      <c r="B30" s="54" t="s">
        <v>38</v>
      </c>
      <c r="C30" s="63">
        <v>1625</v>
      </c>
      <c r="D30" s="56" t="s">
        <v>39</v>
      </c>
      <c r="E30" s="55">
        <v>180</v>
      </c>
      <c r="F30" s="60">
        <f>C30*E30</f>
        <v>292500</v>
      </c>
    </row>
    <row r="31" spans="1:6" ht="18" customHeight="1" x14ac:dyDescent="0.3">
      <c r="A31" s="69">
        <v>5.0199999999999996</v>
      </c>
      <c r="B31" s="57" t="s">
        <v>40</v>
      </c>
      <c r="C31" s="57">
        <f>C30*6</f>
        <v>9750</v>
      </c>
      <c r="D31" s="59" t="s">
        <v>44</v>
      </c>
      <c r="E31" s="58">
        <v>7.5</v>
      </c>
      <c r="F31" s="60">
        <f>C31*E31</f>
        <v>73125</v>
      </c>
    </row>
    <row r="32" spans="1:6" ht="18" customHeight="1" x14ac:dyDescent="0.3">
      <c r="A32" s="69">
        <v>5.03</v>
      </c>
      <c r="B32" s="60" t="s">
        <v>41</v>
      </c>
      <c r="C32" s="61">
        <v>0.12</v>
      </c>
      <c r="D32" s="62"/>
      <c r="E32" s="61"/>
      <c r="F32" s="60">
        <f>SUM(F30:F31)*C32</f>
        <v>43875</v>
      </c>
    </row>
    <row r="33" spans="1:6" ht="18" customHeight="1" thickBot="1" x14ac:dyDescent="0.35">
      <c r="A33" s="69">
        <v>5.04</v>
      </c>
      <c r="B33" s="60" t="s">
        <v>42</v>
      </c>
      <c r="C33" s="61">
        <v>0.15</v>
      </c>
      <c r="D33" s="62"/>
      <c r="E33" s="61"/>
      <c r="F33" s="60">
        <f>SUM(F30:F31)*C33</f>
        <v>54843.75</v>
      </c>
    </row>
    <row r="34" spans="1:6" ht="18" customHeight="1" thickTop="1" x14ac:dyDescent="0.3">
      <c r="A34" s="64">
        <v>6</v>
      </c>
      <c r="B34" s="53" t="s">
        <v>52</v>
      </c>
      <c r="C34" s="53"/>
      <c r="D34" s="53"/>
      <c r="E34" s="53"/>
      <c r="F34" s="70">
        <f>SUM(F35:F38)</f>
        <v>464343.75</v>
      </c>
    </row>
    <row r="35" spans="1:6" ht="18" customHeight="1" x14ac:dyDescent="0.3">
      <c r="A35" s="69">
        <v>6.01</v>
      </c>
      <c r="B35" s="54" t="s">
        <v>38</v>
      </c>
      <c r="C35" s="63">
        <v>1625</v>
      </c>
      <c r="D35" s="56" t="s">
        <v>39</v>
      </c>
      <c r="E35" s="55">
        <v>180</v>
      </c>
      <c r="F35" s="60">
        <f>C35*E35</f>
        <v>292500</v>
      </c>
    </row>
    <row r="36" spans="1:6" ht="18" customHeight="1" x14ac:dyDescent="0.3">
      <c r="A36" s="69">
        <v>6.02</v>
      </c>
      <c r="B36" s="57" t="s">
        <v>40</v>
      </c>
      <c r="C36" s="57">
        <f>C35*6</f>
        <v>9750</v>
      </c>
      <c r="D36" s="59" t="s">
        <v>44</v>
      </c>
      <c r="E36" s="58">
        <v>7.5</v>
      </c>
      <c r="F36" s="60">
        <f>C36*E36</f>
        <v>73125</v>
      </c>
    </row>
    <row r="37" spans="1:6" ht="18" customHeight="1" x14ac:dyDescent="0.3">
      <c r="A37" s="69">
        <v>6.03</v>
      </c>
      <c r="B37" s="60" t="s">
        <v>41</v>
      </c>
      <c r="C37" s="61">
        <v>0.12</v>
      </c>
      <c r="D37" s="62"/>
      <c r="E37" s="61"/>
      <c r="F37" s="60">
        <f>SUM(F35:F36)*C37</f>
        <v>43875</v>
      </c>
    </row>
    <row r="38" spans="1:6" ht="18" customHeight="1" thickBot="1" x14ac:dyDescent="0.35">
      <c r="A38" s="69">
        <v>6.04</v>
      </c>
      <c r="B38" s="60" t="s">
        <v>42</v>
      </c>
      <c r="C38" s="61">
        <v>0.15</v>
      </c>
      <c r="D38" s="62"/>
      <c r="E38" s="61"/>
      <c r="F38" s="60">
        <f>SUM(F35:F36)*C38</f>
        <v>54843.75</v>
      </c>
    </row>
    <row r="39" spans="1:6" ht="18" customHeight="1" thickTop="1" x14ac:dyDescent="0.3">
      <c r="A39" s="64">
        <v>7</v>
      </c>
      <c r="B39" s="53" t="s">
        <v>53</v>
      </c>
      <c r="C39" s="53"/>
      <c r="D39" s="53"/>
      <c r="E39" s="53"/>
      <c r="F39" s="70">
        <f>SUM(F40:F43)</f>
        <v>464343.75</v>
      </c>
    </row>
    <row r="40" spans="1:6" ht="18" customHeight="1" x14ac:dyDescent="0.3">
      <c r="A40" s="69">
        <v>7.01</v>
      </c>
      <c r="B40" s="54" t="s">
        <v>38</v>
      </c>
      <c r="C40" s="63">
        <v>1625</v>
      </c>
      <c r="D40" s="56" t="s">
        <v>39</v>
      </c>
      <c r="E40" s="55">
        <v>180</v>
      </c>
      <c r="F40" s="60">
        <f>C40*E40</f>
        <v>292500</v>
      </c>
    </row>
    <row r="41" spans="1:6" ht="18" customHeight="1" x14ac:dyDescent="0.3">
      <c r="A41" s="69">
        <v>7.02</v>
      </c>
      <c r="B41" s="57" t="s">
        <v>40</v>
      </c>
      <c r="C41" s="57">
        <f>C40*6</f>
        <v>9750</v>
      </c>
      <c r="D41" s="59" t="s">
        <v>44</v>
      </c>
      <c r="E41" s="58">
        <v>7.5</v>
      </c>
      <c r="F41" s="60">
        <f>C41*E41</f>
        <v>73125</v>
      </c>
    </row>
    <row r="42" spans="1:6" ht="18" customHeight="1" x14ac:dyDescent="0.3">
      <c r="A42" s="69">
        <v>7.03</v>
      </c>
      <c r="B42" s="60" t="s">
        <v>41</v>
      </c>
      <c r="C42" s="61">
        <v>0.12</v>
      </c>
      <c r="D42" s="62"/>
      <c r="E42" s="61"/>
      <c r="F42" s="60">
        <f>SUM(F40:F41)*C42</f>
        <v>43875</v>
      </c>
    </row>
    <row r="43" spans="1:6" ht="18" customHeight="1" thickBot="1" x14ac:dyDescent="0.35">
      <c r="A43" s="69">
        <v>7.04</v>
      </c>
      <c r="B43" s="60" t="s">
        <v>42</v>
      </c>
      <c r="C43" s="61">
        <v>0.15</v>
      </c>
      <c r="D43" s="62"/>
      <c r="E43" s="61"/>
      <c r="F43" s="60">
        <f>SUM(F40:F41)*C43</f>
        <v>54843.75</v>
      </c>
    </row>
    <row r="44" spans="1:6" ht="18" customHeight="1" thickTop="1" x14ac:dyDescent="0.3">
      <c r="A44" s="64">
        <v>8</v>
      </c>
      <c r="B44" s="53" t="s">
        <v>54</v>
      </c>
      <c r="C44" s="53"/>
      <c r="D44" s="53"/>
      <c r="E44" s="53"/>
      <c r="F44" s="70">
        <f>SUM(F45:F48)</f>
        <v>545496.75</v>
      </c>
    </row>
    <row r="45" spans="1:6" ht="18" customHeight="1" x14ac:dyDescent="0.3">
      <c r="A45" s="69">
        <v>8.01</v>
      </c>
      <c r="B45" s="54" t="s">
        <v>38</v>
      </c>
      <c r="C45" s="63">
        <f>949+960</f>
        <v>1909</v>
      </c>
      <c r="D45" s="56" t="s">
        <v>39</v>
      </c>
      <c r="E45" s="55">
        <v>180</v>
      </c>
      <c r="F45" s="60">
        <f>C45*E45</f>
        <v>343620</v>
      </c>
    </row>
    <row r="46" spans="1:6" ht="18" customHeight="1" x14ac:dyDescent="0.3">
      <c r="A46" s="69">
        <v>8.02</v>
      </c>
      <c r="B46" s="57" t="s">
        <v>40</v>
      </c>
      <c r="C46" s="57">
        <f>C45*6</f>
        <v>11454</v>
      </c>
      <c r="D46" s="59" t="s">
        <v>44</v>
      </c>
      <c r="E46" s="58">
        <v>7.5</v>
      </c>
      <c r="F46" s="60">
        <f>C46*E46</f>
        <v>85905</v>
      </c>
    </row>
    <row r="47" spans="1:6" ht="18" customHeight="1" x14ac:dyDescent="0.3">
      <c r="A47" s="69">
        <v>8.0299999999999994</v>
      </c>
      <c r="B47" s="60" t="s">
        <v>41</v>
      </c>
      <c r="C47" s="61">
        <v>0.12</v>
      </c>
      <c r="D47" s="62"/>
      <c r="E47" s="61"/>
      <c r="F47" s="60">
        <f>SUM(F45:F46)*C47</f>
        <v>51543</v>
      </c>
    </row>
    <row r="48" spans="1:6" ht="18" customHeight="1" thickBot="1" x14ac:dyDescent="0.35">
      <c r="A48" s="69">
        <v>8.0399999999999991</v>
      </c>
      <c r="B48" s="60" t="s">
        <v>42</v>
      </c>
      <c r="C48" s="61">
        <v>0.15</v>
      </c>
      <c r="D48" s="62"/>
      <c r="E48" s="61"/>
      <c r="F48" s="60">
        <f>SUM(F45:F46)*C48</f>
        <v>64428.75</v>
      </c>
    </row>
    <row r="49" spans="1:6" ht="18" customHeight="1" thickTop="1" x14ac:dyDescent="0.3">
      <c r="A49" s="64">
        <v>9</v>
      </c>
      <c r="B49" s="53" t="s">
        <v>55</v>
      </c>
      <c r="C49" s="53"/>
      <c r="D49" s="53"/>
      <c r="E49" s="53"/>
      <c r="F49" s="70">
        <f>SUM(F50:F53)</f>
        <v>264604.5</v>
      </c>
    </row>
    <row r="50" spans="1:6" ht="18" customHeight="1" x14ac:dyDescent="0.3">
      <c r="A50" s="69">
        <v>9.01</v>
      </c>
      <c r="B50" s="54" t="s">
        <v>38</v>
      </c>
      <c r="C50" s="63">
        <v>926</v>
      </c>
      <c r="D50" s="56" t="s">
        <v>39</v>
      </c>
      <c r="E50" s="55">
        <v>180</v>
      </c>
      <c r="F50" s="60">
        <f>C50*E50</f>
        <v>166680</v>
      </c>
    </row>
    <row r="51" spans="1:6" ht="18" customHeight="1" x14ac:dyDescent="0.3">
      <c r="A51" s="69">
        <v>9.02</v>
      </c>
      <c r="B51" s="57" t="s">
        <v>40</v>
      </c>
      <c r="C51" s="57">
        <f>C50*6</f>
        <v>5556</v>
      </c>
      <c r="D51" s="59" t="s">
        <v>44</v>
      </c>
      <c r="E51" s="58">
        <v>7.5</v>
      </c>
      <c r="F51" s="60">
        <f>C51*E51</f>
        <v>41670</v>
      </c>
    </row>
    <row r="52" spans="1:6" ht="18" customHeight="1" x14ac:dyDescent="0.3">
      <c r="A52" s="69">
        <v>9.0299999999999994</v>
      </c>
      <c r="B52" s="60" t="s">
        <v>41</v>
      </c>
      <c r="C52" s="61">
        <v>0.12</v>
      </c>
      <c r="D52" s="62"/>
      <c r="E52" s="61"/>
      <c r="F52" s="60">
        <f>SUM(F50:F51)*C52</f>
        <v>25002</v>
      </c>
    </row>
    <row r="53" spans="1:6" ht="18" customHeight="1" thickBot="1" x14ac:dyDescent="0.35">
      <c r="A53" s="69">
        <v>9.0399999999999991</v>
      </c>
      <c r="B53" s="60" t="s">
        <v>42</v>
      </c>
      <c r="C53" s="61">
        <v>0.15</v>
      </c>
      <c r="D53" s="62"/>
      <c r="E53" s="61"/>
      <c r="F53" s="60">
        <f>SUM(F50:F51)*C53</f>
        <v>31252.5</v>
      </c>
    </row>
    <row r="54" spans="1:6" ht="18" customHeight="1" thickTop="1" x14ac:dyDescent="0.3">
      <c r="A54" s="64">
        <v>10</v>
      </c>
      <c r="B54" s="53" t="s">
        <v>71</v>
      </c>
      <c r="C54" s="53"/>
      <c r="D54" s="53"/>
      <c r="E54" s="53"/>
      <c r="F54" s="70">
        <f>SUM(F55:F59)</f>
        <v>568007.5</v>
      </c>
    </row>
    <row r="55" spans="1:6" ht="18" customHeight="1" x14ac:dyDescent="0.3">
      <c r="A55" s="69">
        <v>10.01</v>
      </c>
      <c r="B55" s="54" t="s">
        <v>38</v>
      </c>
      <c r="C55" s="63">
        <v>1010</v>
      </c>
      <c r="D55" s="56" t="s">
        <v>39</v>
      </c>
      <c r="E55" s="55">
        <v>180</v>
      </c>
      <c r="F55" s="60">
        <f>C55*E55</f>
        <v>181800</v>
      </c>
    </row>
    <row r="56" spans="1:6" ht="18" customHeight="1" x14ac:dyDescent="0.3">
      <c r="A56" s="69">
        <v>10.02</v>
      </c>
      <c r="B56" s="57" t="s">
        <v>40</v>
      </c>
      <c r="C56" s="57">
        <f>C55*6</f>
        <v>6060</v>
      </c>
      <c r="D56" s="59" t="s">
        <v>44</v>
      </c>
      <c r="E56" s="58">
        <v>7.5</v>
      </c>
      <c r="F56" s="60">
        <f>C56*E56</f>
        <v>45450</v>
      </c>
    </row>
    <row r="57" spans="1:6" ht="18" customHeight="1" x14ac:dyDescent="0.3">
      <c r="A57" s="69">
        <v>10.029999999999999</v>
      </c>
      <c r="B57" s="57" t="s">
        <v>45</v>
      </c>
      <c r="C57" s="57">
        <v>1</v>
      </c>
      <c r="D57" s="59" t="s">
        <v>46</v>
      </c>
      <c r="E57" s="58">
        <v>220000</v>
      </c>
      <c r="F57" s="60">
        <f>C57*E57</f>
        <v>220000</v>
      </c>
    </row>
    <row r="58" spans="1:6" ht="18" customHeight="1" x14ac:dyDescent="0.3">
      <c r="A58" s="69">
        <v>10.039999999999999</v>
      </c>
      <c r="B58" s="60" t="s">
        <v>41</v>
      </c>
      <c r="C58" s="61">
        <v>0.12</v>
      </c>
      <c r="D58" s="62"/>
      <c r="E58" s="61"/>
      <c r="F58" s="60">
        <f>SUM(F55:F57)*C58</f>
        <v>53670</v>
      </c>
    </row>
    <row r="59" spans="1:6" ht="18" customHeight="1" thickBot="1" x14ac:dyDescent="0.35">
      <c r="A59" s="69">
        <v>10.050000000000001</v>
      </c>
      <c r="B59" s="60" t="s">
        <v>42</v>
      </c>
      <c r="C59" s="61">
        <v>0.15</v>
      </c>
      <c r="D59" s="62"/>
      <c r="E59" s="61"/>
      <c r="F59" s="60">
        <f>SUM(F55:F57)*C59</f>
        <v>67087.5</v>
      </c>
    </row>
    <row r="60" spans="1:6" ht="18" customHeight="1" thickTop="1" x14ac:dyDescent="0.3">
      <c r="A60" s="64">
        <v>11</v>
      </c>
      <c r="B60" s="53" t="s">
        <v>72</v>
      </c>
      <c r="C60" s="53"/>
      <c r="D60" s="53"/>
      <c r="E60" s="53"/>
      <c r="F60" s="70">
        <f>SUM(F61:F64)</f>
        <v>324040.5</v>
      </c>
    </row>
    <row r="61" spans="1:6" ht="18" customHeight="1" x14ac:dyDescent="0.3">
      <c r="A61" s="69">
        <v>11.01</v>
      </c>
      <c r="B61" s="54" t="s">
        <v>38</v>
      </c>
      <c r="C61" s="63">
        <v>1134</v>
      </c>
      <c r="D61" s="56" t="s">
        <v>39</v>
      </c>
      <c r="E61" s="55">
        <v>180</v>
      </c>
      <c r="F61" s="60">
        <f>C61*E61</f>
        <v>204120</v>
      </c>
    </row>
    <row r="62" spans="1:6" ht="18" customHeight="1" x14ac:dyDescent="0.3">
      <c r="A62" s="69">
        <v>11.02</v>
      </c>
      <c r="B62" s="57" t="s">
        <v>40</v>
      </c>
      <c r="C62" s="57">
        <f>C61*6</f>
        <v>6804</v>
      </c>
      <c r="D62" s="59" t="s">
        <v>44</v>
      </c>
      <c r="E62" s="58">
        <v>7.5</v>
      </c>
      <c r="F62" s="60">
        <f>C62*E62</f>
        <v>51030</v>
      </c>
    </row>
    <row r="63" spans="1:6" ht="18" customHeight="1" x14ac:dyDescent="0.3">
      <c r="A63" s="69">
        <v>11.03</v>
      </c>
      <c r="B63" s="60" t="s">
        <v>41</v>
      </c>
      <c r="C63" s="61">
        <v>0.12</v>
      </c>
      <c r="D63" s="62"/>
      <c r="E63" s="61"/>
      <c r="F63" s="60">
        <f>SUM(F61:F62)*C63</f>
        <v>30618</v>
      </c>
    </row>
    <row r="64" spans="1:6" ht="18" customHeight="1" thickBot="1" x14ac:dyDescent="0.35">
      <c r="A64" s="69">
        <v>11.04</v>
      </c>
      <c r="B64" s="60" t="s">
        <v>42</v>
      </c>
      <c r="C64" s="61">
        <v>0.15</v>
      </c>
      <c r="D64" s="62"/>
      <c r="E64" s="61"/>
      <c r="F64" s="60">
        <f>SUM(F61:F62)*C64</f>
        <v>38272.5</v>
      </c>
    </row>
    <row r="65" spans="1:6" ht="18" customHeight="1" thickTop="1" x14ac:dyDescent="0.3">
      <c r="A65" s="64">
        <v>12</v>
      </c>
      <c r="B65" s="53" t="s">
        <v>50</v>
      </c>
      <c r="C65" s="53"/>
      <c r="D65" s="53"/>
      <c r="E65" s="53"/>
      <c r="F65" s="70">
        <f>SUM(F66:F70)</f>
        <v>818038.75</v>
      </c>
    </row>
    <row r="66" spans="1:6" ht="18" customHeight="1" x14ac:dyDescent="0.3">
      <c r="A66" s="69">
        <v>12.01</v>
      </c>
      <c r="B66" s="54" t="s">
        <v>38</v>
      </c>
      <c r="C66" s="63">
        <v>1885</v>
      </c>
      <c r="D66" s="56" t="s">
        <v>39</v>
      </c>
      <c r="E66" s="55">
        <v>180</v>
      </c>
      <c r="F66" s="60">
        <f>C66*E66</f>
        <v>339300</v>
      </c>
    </row>
    <row r="67" spans="1:6" ht="18" customHeight="1" x14ac:dyDescent="0.3">
      <c r="A67" s="69">
        <v>12.02</v>
      </c>
      <c r="B67" s="57" t="s">
        <v>40</v>
      </c>
      <c r="C67" s="57">
        <f>C66*6</f>
        <v>11310</v>
      </c>
      <c r="D67" s="59" t="s">
        <v>44</v>
      </c>
      <c r="E67" s="58">
        <v>7.5</v>
      </c>
      <c r="F67" s="60">
        <f>C67*E67</f>
        <v>84825</v>
      </c>
    </row>
    <row r="68" spans="1:6" ht="18" customHeight="1" x14ac:dyDescent="0.3">
      <c r="A68" s="69">
        <v>12.03</v>
      </c>
      <c r="B68" s="57" t="s">
        <v>45</v>
      </c>
      <c r="C68" s="57">
        <v>1</v>
      </c>
      <c r="D68" s="59" t="s">
        <v>46</v>
      </c>
      <c r="E68" s="58">
        <v>220000</v>
      </c>
      <c r="F68" s="60">
        <f>C68*E68</f>
        <v>220000</v>
      </c>
    </row>
    <row r="69" spans="1:6" ht="18" customHeight="1" x14ac:dyDescent="0.3">
      <c r="A69" s="69">
        <v>12.04</v>
      </c>
      <c r="B69" s="60" t="s">
        <v>41</v>
      </c>
      <c r="C69" s="61">
        <v>0.12</v>
      </c>
      <c r="D69" s="62"/>
      <c r="E69" s="61"/>
      <c r="F69" s="60">
        <f>SUM(F66:F68)*C69</f>
        <v>77295</v>
      </c>
    </row>
    <row r="70" spans="1:6" ht="18" customHeight="1" thickBot="1" x14ac:dyDescent="0.35">
      <c r="A70" s="69">
        <v>12.05</v>
      </c>
      <c r="B70" s="60" t="s">
        <v>42</v>
      </c>
      <c r="C70" s="61">
        <v>0.15</v>
      </c>
      <c r="D70" s="62"/>
      <c r="E70" s="61"/>
      <c r="F70" s="60">
        <f>SUM(F66:F68)*C70</f>
        <v>96618.75</v>
      </c>
    </row>
    <row r="71" spans="1:6" ht="18" customHeight="1" thickTop="1" x14ac:dyDescent="0.3">
      <c r="A71" s="64">
        <v>13</v>
      </c>
      <c r="B71" s="53" t="s">
        <v>56</v>
      </c>
      <c r="C71" s="53"/>
      <c r="D71" s="53"/>
      <c r="E71" s="53"/>
      <c r="F71" s="70">
        <f>SUM(F72:F75)</f>
        <v>95250</v>
      </c>
    </row>
    <row r="72" spans="1:6" ht="18" customHeight="1" x14ac:dyDescent="0.3">
      <c r="A72" s="69">
        <v>13.01</v>
      </c>
      <c r="B72" s="54" t="s">
        <v>59</v>
      </c>
      <c r="C72" s="63">
        <v>1</v>
      </c>
      <c r="D72" s="56" t="s">
        <v>58</v>
      </c>
      <c r="E72" s="55">
        <v>55000</v>
      </c>
      <c r="F72" s="60">
        <f>C72*E72</f>
        <v>55000</v>
      </c>
    </row>
    <row r="73" spans="1:6" ht="18" customHeight="1" x14ac:dyDescent="0.3">
      <c r="A73" s="69">
        <v>13.02</v>
      </c>
      <c r="B73" s="57" t="s">
        <v>57</v>
      </c>
      <c r="C73" s="57">
        <v>1</v>
      </c>
      <c r="D73" s="59" t="s">
        <v>58</v>
      </c>
      <c r="E73" s="58">
        <v>20000</v>
      </c>
      <c r="F73" s="60">
        <f>C73*E73</f>
        <v>20000</v>
      </c>
    </row>
    <row r="74" spans="1:6" ht="18" customHeight="1" x14ac:dyDescent="0.3">
      <c r="A74" s="69">
        <v>13.03</v>
      </c>
      <c r="B74" s="60" t="s">
        <v>41</v>
      </c>
      <c r="C74" s="61">
        <v>0.12</v>
      </c>
      <c r="D74" s="62"/>
      <c r="E74" s="61"/>
      <c r="F74" s="60">
        <f>SUM(F72:F73)*C74</f>
        <v>9000</v>
      </c>
    </row>
    <row r="75" spans="1:6" ht="18" customHeight="1" thickBot="1" x14ac:dyDescent="0.35">
      <c r="A75" s="69">
        <v>13.04</v>
      </c>
      <c r="B75" s="60" t="s">
        <v>42</v>
      </c>
      <c r="C75" s="61">
        <v>0.15</v>
      </c>
      <c r="D75" s="62"/>
      <c r="E75" s="61"/>
      <c r="F75" s="60">
        <f>SUM(F72:F73)*C75</f>
        <v>11250</v>
      </c>
    </row>
    <row r="76" spans="1:6" ht="18" customHeight="1" thickTop="1" x14ac:dyDescent="0.3">
      <c r="A76" s="64">
        <v>14</v>
      </c>
      <c r="B76" s="53" t="s">
        <v>61</v>
      </c>
      <c r="C76" s="53"/>
      <c r="D76" s="53"/>
      <c r="E76" s="53"/>
      <c r="F76" s="70">
        <f>SUM(F77:F83)</f>
        <v>1377950</v>
      </c>
    </row>
    <row r="77" spans="1:6" ht="18" customHeight="1" x14ac:dyDescent="0.3">
      <c r="A77" s="69">
        <v>14.01</v>
      </c>
      <c r="B77" s="54" t="s">
        <v>59</v>
      </c>
      <c r="C77" s="63">
        <v>1</v>
      </c>
      <c r="D77" s="56" t="s">
        <v>58</v>
      </c>
      <c r="E77" s="55">
        <v>85000</v>
      </c>
      <c r="F77" s="60">
        <f>C77*E77</f>
        <v>85000</v>
      </c>
    </row>
    <row r="78" spans="1:6" ht="18" customHeight="1" x14ac:dyDescent="0.3">
      <c r="A78" s="69">
        <v>14.02</v>
      </c>
      <c r="B78" s="54" t="s">
        <v>62</v>
      </c>
      <c r="C78" s="63">
        <v>1</v>
      </c>
      <c r="D78" s="56" t="s">
        <v>58</v>
      </c>
      <c r="E78" s="55">
        <v>500000</v>
      </c>
      <c r="F78" s="60">
        <f t="shared" ref="F78:F80" si="0">C78*E78</f>
        <v>500000</v>
      </c>
    </row>
    <row r="79" spans="1:6" ht="18" customHeight="1" x14ac:dyDescent="0.3">
      <c r="A79" s="69">
        <v>14.03</v>
      </c>
      <c r="B79" s="54" t="s">
        <v>63</v>
      </c>
      <c r="C79" s="63">
        <v>1</v>
      </c>
      <c r="D79" s="56" t="s">
        <v>58</v>
      </c>
      <c r="E79" s="55">
        <v>150000</v>
      </c>
      <c r="F79" s="60">
        <f t="shared" si="0"/>
        <v>150000</v>
      </c>
    </row>
    <row r="80" spans="1:6" ht="18" customHeight="1" x14ac:dyDescent="0.3">
      <c r="A80" s="69">
        <v>14.04</v>
      </c>
      <c r="B80" s="57" t="s">
        <v>64</v>
      </c>
      <c r="C80" s="57">
        <v>1</v>
      </c>
      <c r="D80" s="59" t="s">
        <v>58</v>
      </c>
      <c r="E80" s="58">
        <v>200000</v>
      </c>
      <c r="F80" s="60">
        <f t="shared" si="0"/>
        <v>200000</v>
      </c>
    </row>
    <row r="81" spans="1:6" ht="18" customHeight="1" x14ac:dyDescent="0.3">
      <c r="A81" s="69">
        <v>14.05</v>
      </c>
      <c r="B81" s="57" t="s">
        <v>65</v>
      </c>
      <c r="C81" s="57">
        <v>1</v>
      </c>
      <c r="D81" s="59" t="s">
        <v>58</v>
      </c>
      <c r="E81" s="58">
        <v>150000</v>
      </c>
      <c r="F81" s="60">
        <f>C81*E81</f>
        <v>150000</v>
      </c>
    </row>
    <row r="82" spans="1:6" ht="18" customHeight="1" x14ac:dyDescent="0.3">
      <c r="A82" s="69">
        <v>14.06</v>
      </c>
      <c r="B82" s="60" t="s">
        <v>41</v>
      </c>
      <c r="C82" s="61">
        <v>0.12</v>
      </c>
      <c r="D82" s="62"/>
      <c r="E82" s="61"/>
      <c r="F82" s="60">
        <f>SUM(F77:F81)*C82</f>
        <v>130200</v>
      </c>
    </row>
    <row r="83" spans="1:6" ht="18" customHeight="1" thickBot="1" x14ac:dyDescent="0.35">
      <c r="A83" s="69">
        <v>14.07</v>
      </c>
      <c r="B83" s="60" t="s">
        <v>42</v>
      </c>
      <c r="C83" s="61">
        <v>0.15</v>
      </c>
      <c r="D83" s="62"/>
      <c r="E83" s="61"/>
      <c r="F83" s="60">
        <f>SUM(F77:F81)*C83</f>
        <v>162750</v>
      </c>
    </row>
    <row r="84" spans="1:6" ht="18" customHeight="1" thickTop="1" x14ac:dyDescent="0.3">
      <c r="A84" s="64">
        <v>15</v>
      </c>
      <c r="B84" s="53" t="s">
        <v>66</v>
      </c>
      <c r="C84" s="53"/>
      <c r="D84" s="53"/>
      <c r="E84" s="53"/>
      <c r="F84" s="70">
        <f>SUM(F85:F91)</f>
        <v>2032000</v>
      </c>
    </row>
    <row r="85" spans="1:6" ht="18" customHeight="1" x14ac:dyDescent="0.3">
      <c r="A85" s="69">
        <v>15.01</v>
      </c>
      <c r="B85" s="54" t="s">
        <v>67</v>
      </c>
      <c r="C85" s="63">
        <v>1</v>
      </c>
      <c r="D85" s="56" t="s">
        <v>58</v>
      </c>
      <c r="E85" s="55">
        <v>300000</v>
      </c>
      <c r="F85" s="60">
        <f>C85*E85</f>
        <v>300000</v>
      </c>
    </row>
    <row r="86" spans="1:6" ht="18" customHeight="1" x14ac:dyDescent="0.3">
      <c r="A86" s="69">
        <v>15.02</v>
      </c>
      <c r="B86" s="54" t="s">
        <v>68</v>
      </c>
      <c r="C86" s="63">
        <v>1</v>
      </c>
      <c r="D86" s="56" t="s">
        <v>58</v>
      </c>
      <c r="E86" s="55">
        <v>350000</v>
      </c>
      <c r="F86" s="60">
        <f t="shared" ref="F86:F88" si="1">C86*E86</f>
        <v>350000</v>
      </c>
    </row>
    <row r="87" spans="1:6" ht="18" customHeight="1" x14ac:dyDescent="0.3">
      <c r="A87" s="69">
        <v>15.03</v>
      </c>
      <c r="B87" s="54" t="s">
        <v>69</v>
      </c>
      <c r="C87" s="63">
        <v>1</v>
      </c>
      <c r="D87" s="56" t="s">
        <v>58</v>
      </c>
      <c r="E87" s="55">
        <v>750000</v>
      </c>
      <c r="F87" s="60">
        <f t="shared" si="1"/>
        <v>750000</v>
      </c>
    </row>
    <row r="88" spans="1:6" ht="18" customHeight="1" x14ac:dyDescent="0.3">
      <c r="A88" s="69">
        <v>15.04</v>
      </c>
      <c r="B88" s="57" t="s">
        <v>64</v>
      </c>
      <c r="C88" s="57">
        <v>1</v>
      </c>
      <c r="D88" s="59" t="s">
        <v>58</v>
      </c>
      <c r="E88" s="58">
        <v>50000</v>
      </c>
      <c r="F88" s="60">
        <f t="shared" si="1"/>
        <v>50000</v>
      </c>
    </row>
    <row r="89" spans="1:6" ht="18" customHeight="1" x14ac:dyDescent="0.3">
      <c r="A89" s="69">
        <v>15.05</v>
      </c>
      <c r="B89" s="57" t="s">
        <v>65</v>
      </c>
      <c r="C89" s="57">
        <v>1</v>
      </c>
      <c r="D89" s="59" t="s">
        <v>58</v>
      </c>
      <c r="E89" s="58">
        <v>150000</v>
      </c>
      <c r="F89" s="60">
        <f>C89*E89</f>
        <v>150000</v>
      </c>
    </row>
    <row r="90" spans="1:6" ht="18" customHeight="1" x14ac:dyDescent="0.3">
      <c r="A90" s="69">
        <v>15.06</v>
      </c>
      <c r="B90" s="60" t="s">
        <v>41</v>
      </c>
      <c r="C90" s="61">
        <v>0.12</v>
      </c>
      <c r="D90" s="62"/>
      <c r="E90" s="61"/>
      <c r="F90" s="60">
        <f>SUM(F85:F89)*C90</f>
        <v>192000</v>
      </c>
    </row>
    <row r="91" spans="1:6" ht="18" customHeight="1" thickBot="1" x14ac:dyDescent="0.35">
      <c r="A91" s="71">
        <v>15.07</v>
      </c>
      <c r="B91" s="72" t="s">
        <v>42</v>
      </c>
      <c r="C91" s="73">
        <v>0.15</v>
      </c>
      <c r="D91" s="74"/>
      <c r="E91" s="73"/>
      <c r="F91" s="72">
        <f>SUM(F85:F89)*C91</f>
        <v>240000</v>
      </c>
    </row>
    <row r="92" spans="1:6" ht="18" customHeight="1" thickTop="1" x14ac:dyDescent="0.3">
      <c r="A92" s="64">
        <v>16</v>
      </c>
      <c r="B92" s="53" t="s">
        <v>79</v>
      </c>
      <c r="C92" s="53"/>
      <c r="D92" s="53"/>
      <c r="E92" s="53"/>
      <c r="F92" s="70">
        <f>SUM(F93:F98)</f>
        <v>198437.5</v>
      </c>
    </row>
    <row r="93" spans="1:6" ht="18" customHeight="1" x14ac:dyDescent="0.3">
      <c r="A93" s="69">
        <v>16.010000000000002</v>
      </c>
      <c r="B93" s="54" t="s">
        <v>74</v>
      </c>
      <c r="C93" s="63">
        <v>150</v>
      </c>
      <c r="D93" s="56" t="s">
        <v>39</v>
      </c>
      <c r="E93" s="55">
        <v>200</v>
      </c>
      <c r="F93" s="60">
        <f>C93*E93</f>
        <v>30000</v>
      </c>
    </row>
    <row r="94" spans="1:6" ht="18" customHeight="1" x14ac:dyDescent="0.3">
      <c r="A94" s="69">
        <v>16.02</v>
      </c>
      <c r="B94" s="54" t="s">
        <v>83</v>
      </c>
      <c r="C94" s="63">
        <v>1750</v>
      </c>
      <c r="D94" s="56" t="s">
        <v>60</v>
      </c>
      <c r="E94" s="55">
        <v>15</v>
      </c>
      <c r="F94" s="60">
        <f t="shared" ref="F94:F96" si="2">C94*E94</f>
        <v>26250</v>
      </c>
    </row>
    <row r="95" spans="1:6" ht="18" customHeight="1" x14ac:dyDescent="0.3">
      <c r="A95" s="69">
        <v>16.03</v>
      </c>
      <c r="B95" s="54" t="s">
        <v>75</v>
      </c>
      <c r="C95" s="63">
        <v>1</v>
      </c>
      <c r="D95" s="56" t="s">
        <v>46</v>
      </c>
      <c r="E95" s="55">
        <v>50000</v>
      </c>
      <c r="F95" s="60">
        <f t="shared" si="2"/>
        <v>50000</v>
      </c>
    </row>
    <row r="96" spans="1:6" ht="18" customHeight="1" x14ac:dyDescent="0.3">
      <c r="A96" s="69">
        <v>16.04</v>
      </c>
      <c r="B96" s="57" t="s">
        <v>76</v>
      </c>
      <c r="C96" s="57">
        <v>1</v>
      </c>
      <c r="D96" s="59" t="s">
        <v>58</v>
      </c>
      <c r="E96" s="58">
        <v>50000</v>
      </c>
      <c r="F96" s="60">
        <f t="shared" si="2"/>
        <v>50000</v>
      </c>
    </row>
    <row r="97" spans="1:6" ht="18" customHeight="1" x14ac:dyDescent="0.3">
      <c r="A97" s="69">
        <v>16.059999999999999</v>
      </c>
      <c r="B97" s="60" t="s">
        <v>41</v>
      </c>
      <c r="C97" s="61">
        <v>0.12</v>
      </c>
      <c r="D97" s="62"/>
      <c r="E97" s="61"/>
      <c r="F97" s="60">
        <f>SUM(F93:F96)*C97</f>
        <v>18750</v>
      </c>
    </row>
    <row r="98" spans="1:6" ht="18" customHeight="1" thickBot="1" x14ac:dyDescent="0.35">
      <c r="A98" s="69">
        <v>16.07</v>
      </c>
      <c r="B98" s="72" t="s">
        <v>42</v>
      </c>
      <c r="C98" s="73">
        <v>0.15</v>
      </c>
      <c r="D98" s="74"/>
      <c r="E98" s="73"/>
      <c r="F98" s="72">
        <f>SUM(F93:F96)*C98</f>
        <v>23437.5</v>
      </c>
    </row>
    <row r="99" spans="1:6" ht="18" customHeight="1" thickTop="1" x14ac:dyDescent="0.3">
      <c r="A99" s="64">
        <v>17</v>
      </c>
      <c r="B99" s="53" t="s">
        <v>73</v>
      </c>
      <c r="C99" s="53"/>
      <c r="D99" s="53"/>
      <c r="E99" s="53"/>
      <c r="F99" s="70">
        <f>SUM(F100:F105)</f>
        <v>233045</v>
      </c>
    </row>
    <row r="100" spans="1:6" ht="18" customHeight="1" x14ac:dyDescent="0.3">
      <c r="A100" s="69">
        <v>17.010000000000002</v>
      </c>
      <c r="B100" s="54" t="s">
        <v>77</v>
      </c>
      <c r="C100" s="63">
        <v>125</v>
      </c>
      <c r="D100" s="56" t="s">
        <v>39</v>
      </c>
      <c r="E100" s="55">
        <v>150</v>
      </c>
      <c r="F100" s="60">
        <f>C100*E100</f>
        <v>18750</v>
      </c>
    </row>
    <row r="101" spans="1:6" ht="18" customHeight="1" x14ac:dyDescent="0.3">
      <c r="A101" s="69">
        <v>17.02</v>
      </c>
      <c r="B101" s="54" t="s">
        <v>83</v>
      </c>
      <c r="C101" s="63">
        <v>1650</v>
      </c>
      <c r="D101" s="56" t="s">
        <v>60</v>
      </c>
      <c r="E101" s="55">
        <v>15</v>
      </c>
      <c r="F101" s="60">
        <f t="shared" ref="F101:F103" si="3">C101*E101</f>
        <v>24750</v>
      </c>
    </row>
    <row r="102" spans="1:6" ht="18" customHeight="1" x14ac:dyDescent="0.3">
      <c r="A102" s="69">
        <v>17.03</v>
      </c>
      <c r="B102" s="54" t="s">
        <v>84</v>
      </c>
      <c r="C102" s="63">
        <v>2</v>
      </c>
      <c r="D102" s="56" t="s">
        <v>46</v>
      </c>
      <c r="E102" s="55">
        <v>50000</v>
      </c>
      <c r="F102" s="60">
        <f t="shared" si="3"/>
        <v>100000</v>
      </c>
    </row>
    <row r="103" spans="1:6" ht="18" customHeight="1" x14ac:dyDescent="0.3">
      <c r="A103" s="69">
        <v>17.04</v>
      </c>
      <c r="B103" s="54" t="s">
        <v>78</v>
      </c>
      <c r="C103" s="57">
        <v>1</v>
      </c>
      <c r="D103" s="59" t="s">
        <v>58</v>
      </c>
      <c r="E103" s="58">
        <v>40000</v>
      </c>
      <c r="F103" s="60">
        <f t="shared" si="3"/>
        <v>40000</v>
      </c>
    </row>
    <row r="104" spans="1:6" ht="18" customHeight="1" x14ac:dyDescent="0.3">
      <c r="A104" s="69">
        <v>17.05</v>
      </c>
      <c r="B104" s="60" t="s">
        <v>41</v>
      </c>
      <c r="C104" s="61">
        <v>0.12</v>
      </c>
      <c r="D104" s="62"/>
      <c r="E104" s="61"/>
      <c r="F104" s="60">
        <f>SUM(F100:F103)*C104</f>
        <v>22020</v>
      </c>
    </row>
    <row r="105" spans="1:6" ht="18" customHeight="1" thickBot="1" x14ac:dyDescent="0.35">
      <c r="A105" s="69">
        <v>17.059999999999999</v>
      </c>
      <c r="B105" s="72" t="s">
        <v>42</v>
      </c>
      <c r="C105" s="73">
        <v>0.15</v>
      </c>
      <c r="D105" s="74"/>
      <c r="E105" s="73"/>
      <c r="F105" s="72">
        <f>SUM(F100:F103)*C105</f>
        <v>27525</v>
      </c>
    </row>
    <row r="106" spans="1:6" ht="18" customHeight="1" thickTop="1" x14ac:dyDescent="0.3">
      <c r="A106" s="64">
        <v>18</v>
      </c>
      <c r="B106" s="53" t="s">
        <v>80</v>
      </c>
      <c r="C106" s="53"/>
      <c r="D106" s="53"/>
      <c r="E106" s="53"/>
      <c r="F106" s="70">
        <f>SUM(F107:F111)</f>
        <v>211455</v>
      </c>
    </row>
    <row r="107" spans="1:6" ht="18" customHeight="1" x14ac:dyDescent="0.3">
      <c r="A107" s="69">
        <v>18.010000000000002</v>
      </c>
      <c r="B107" s="54" t="s">
        <v>74</v>
      </c>
      <c r="C107" s="63">
        <v>20</v>
      </c>
      <c r="D107" s="56" t="s">
        <v>39</v>
      </c>
      <c r="E107" s="55">
        <v>200</v>
      </c>
      <c r="F107" s="60">
        <f>C107*E107</f>
        <v>4000</v>
      </c>
    </row>
    <row r="108" spans="1:6" ht="18" customHeight="1" x14ac:dyDescent="0.3">
      <c r="A108" s="69">
        <v>18.02</v>
      </c>
      <c r="B108" s="54" t="s">
        <v>81</v>
      </c>
      <c r="C108" s="63">
        <v>150</v>
      </c>
      <c r="D108" s="56" t="s">
        <v>60</v>
      </c>
      <c r="E108" s="55">
        <v>750</v>
      </c>
      <c r="F108" s="60">
        <f t="shared" ref="F108:F109" si="4">C108*E108</f>
        <v>112500</v>
      </c>
    </row>
    <row r="109" spans="1:6" ht="18" customHeight="1" x14ac:dyDescent="0.3">
      <c r="A109" s="69">
        <v>18.03</v>
      </c>
      <c r="B109" s="54" t="s">
        <v>82</v>
      </c>
      <c r="C109" s="63">
        <v>2</v>
      </c>
      <c r="D109" s="56" t="s">
        <v>58</v>
      </c>
      <c r="E109" s="55">
        <v>25000</v>
      </c>
      <c r="F109" s="60">
        <f t="shared" si="4"/>
        <v>50000</v>
      </c>
    </row>
    <row r="110" spans="1:6" ht="18" customHeight="1" x14ac:dyDescent="0.3">
      <c r="A110" s="69">
        <v>18.04</v>
      </c>
      <c r="B110" s="60" t="s">
        <v>41</v>
      </c>
      <c r="C110" s="61">
        <v>0.12</v>
      </c>
      <c r="D110" s="62"/>
      <c r="E110" s="61"/>
      <c r="F110" s="60">
        <f>SUM(F107:F109)*C110</f>
        <v>19980</v>
      </c>
    </row>
    <row r="111" spans="1:6" ht="18" customHeight="1" thickBot="1" x14ac:dyDescent="0.35">
      <c r="A111" s="71">
        <v>18.05</v>
      </c>
      <c r="B111" s="72" t="s">
        <v>42</v>
      </c>
      <c r="C111" s="73">
        <v>0.15</v>
      </c>
      <c r="D111" s="74"/>
      <c r="E111" s="73"/>
      <c r="F111" s="72">
        <f>SUM(F107:F109)*C111</f>
        <v>24975</v>
      </c>
    </row>
  </sheetData>
  <pageMargins left="1" right="1" top="0" bottom="1" header="0" footer="0.5"/>
  <pageSetup orientation="portrait" r:id="rId1"/>
  <headerFooter>
    <oddFooter>&amp;L&amp;Z&amp;F&amp;RPage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121E-1E3D-4939-BA43-6312BAB8136F}">
  <dimension ref="A1:M87"/>
  <sheetViews>
    <sheetView view="pageLayout" topLeftCell="A12" zoomScaleNormal="100" workbookViewId="0">
      <selection activeCell="D82" sqref="D82"/>
    </sheetView>
  </sheetViews>
  <sheetFormatPr defaultColWidth="8.88671875" defaultRowHeight="18" customHeight="1" x14ac:dyDescent="0.3"/>
  <cols>
    <col min="1" max="2" width="6.33203125" style="30" customWidth="1"/>
    <col min="3" max="3" width="38.33203125" customWidth="1"/>
    <col min="4" max="5" width="12.77734375" style="7" customWidth="1"/>
    <col min="6" max="6" width="16" style="7" customWidth="1"/>
    <col min="7" max="7" width="12.77734375" style="7" hidden="1" customWidth="1"/>
    <col min="8" max="8" width="12.77734375" style="3" customWidth="1"/>
    <col min="9" max="9" width="12.77734375" style="7" customWidth="1"/>
    <col min="10" max="11" width="16" style="7" customWidth="1"/>
    <col min="12" max="12" width="12.77734375" style="7" customWidth="1"/>
    <col min="13" max="13" width="19.109375" style="3" customWidth="1"/>
  </cols>
  <sheetData>
    <row r="1" spans="1:13" ht="86.4" customHeight="1" x14ac:dyDescent="0.3"/>
    <row r="2" spans="1:13" s="1" customFormat="1" ht="21.6" customHeight="1" x14ac:dyDescent="0.45">
      <c r="A2" s="31" t="s">
        <v>99</v>
      </c>
      <c r="B2" s="31"/>
      <c r="D2" s="33"/>
      <c r="E2" s="33"/>
      <c r="F2" s="33"/>
      <c r="G2" s="33"/>
      <c r="H2" s="78"/>
      <c r="I2" s="33"/>
      <c r="J2" s="33"/>
      <c r="K2" s="33"/>
      <c r="L2" s="33"/>
      <c r="M2" s="78"/>
    </row>
    <row r="3" spans="1:13" s="2" customFormat="1" ht="18" customHeight="1" x14ac:dyDescent="0.3">
      <c r="A3" s="32" t="s">
        <v>34</v>
      </c>
      <c r="B3" s="32"/>
      <c r="D3" s="6"/>
      <c r="E3" s="6"/>
      <c r="F3" s="6"/>
      <c r="G3" s="6"/>
      <c r="H3" s="79"/>
      <c r="I3" s="6"/>
      <c r="J3" s="6"/>
      <c r="K3" s="6"/>
      <c r="L3" s="6"/>
      <c r="M3" s="79"/>
    </row>
    <row r="4" spans="1:13" s="2" customFormat="1" ht="18" customHeight="1" x14ac:dyDescent="0.3">
      <c r="A4" s="32" t="str">
        <f ca="1">"Date: "&amp;TEXT(TODAY(),"DD MMMM YYYY")</f>
        <v>Date: 16 July 2026</v>
      </c>
      <c r="B4" s="32"/>
      <c r="C4" s="6"/>
      <c r="D4" s="6"/>
      <c r="E4" s="6"/>
      <c r="F4" s="6"/>
      <c r="G4" s="6"/>
      <c r="H4" s="79"/>
      <c r="I4" s="6"/>
      <c r="J4" s="6"/>
      <c r="K4" s="6"/>
      <c r="L4" s="6"/>
      <c r="M4" s="79"/>
    </row>
    <row r="5" spans="1:13" s="2" customFormat="1" ht="18" customHeight="1" x14ac:dyDescent="0.3">
      <c r="A5" s="32" t="s">
        <v>92</v>
      </c>
      <c r="B5" s="32"/>
      <c r="E5" s="6"/>
      <c r="F5" s="6"/>
      <c r="G5" s="6"/>
      <c r="H5" s="79"/>
      <c r="I5" s="6"/>
      <c r="J5" s="6"/>
      <c r="K5" s="6"/>
      <c r="L5" s="6"/>
      <c r="M5" s="79"/>
    </row>
    <row r="6" spans="1:13" s="2" customFormat="1" ht="18" customHeight="1" x14ac:dyDescent="0.3">
      <c r="A6" s="32"/>
      <c r="B6" s="32"/>
      <c r="D6" s="6"/>
      <c r="E6" s="6"/>
      <c r="F6" s="6"/>
      <c r="G6" s="6"/>
      <c r="H6" s="79"/>
      <c r="I6" s="6"/>
      <c r="J6" s="6"/>
      <c r="K6" s="6"/>
      <c r="L6" s="6"/>
      <c r="M6" s="79"/>
    </row>
    <row r="7" spans="1:13" s="2" customFormat="1" ht="18" customHeight="1" x14ac:dyDescent="0.3">
      <c r="A7" t="s">
        <v>35</v>
      </c>
      <c r="B7"/>
      <c r="D7" s="7">
        <v>420</v>
      </c>
      <c r="E7" s="6"/>
      <c r="F7" s="7" t="s">
        <v>89</v>
      </c>
      <c r="G7" s="7"/>
      <c r="H7" s="81"/>
      <c r="I7" s="85">
        <v>0.03</v>
      </c>
      <c r="K7" s="6"/>
      <c r="L7" s="6"/>
      <c r="M7" s="79"/>
    </row>
    <row r="8" spans="1:13" ht="18" customHeight="1" x14ac:dyDescent="0.3">
      <c r="A8" t="s">
        <v>94</v>
      </c>
      <c r="B8"/>
      <c r="D8" s="5">
        <v>600</v>
      </c>
      <c r="F8" s="7" t="s">
        <v>90</v>
      </c>
      <c r="I8" s="85">
        <v>2.5000000000000001E-2</v>
      </c>
    </row>
    <row r="9" spans="1:13" ht="18" customHeight="1" x14ac:dyDescent="0.3">
      <c r="A9" t="s">
        <v>36</v>
      </c>
      <c r="B9"/>
      <c r="D9" s="7">
        <f>D8*D7</f>
        <v>252000</v>
      </c>
      <c r="F9" s="86" t="s">
        <v>93</v>
      </c>
      <c r="G9" s="86"/>
      <c r="I9" s="5">
        <v>5</v>
      </c>
    </row>
    <row r="10" spans="1:13" ht="18" customHeight="1" x14ac:dyDescent="0.3">
      <c r="A10" t="s">
        <v>37</v>
      </c>
      <c r="B10"/>
      <c r="D10" s="3">
        <v>72.75</v>
      </c>
    </row>
    <row r="11" spans="1:13" ht="18" customHeight="1" x14ac:dyDescent="0.3">
      <c r="A11"/>
      <c r="B11"/>
      <c r="D11" s="3"/>
    </row>
    <row r="12" spans="1:13" ht="29.4" thickBot="1" x14ac:dyDescent="0.35">
      <c r="A12" s="87" t="s">
        <v>20</v>
      </c>
      <c r="B12" s="87"/>
      <c r="C12" s="11" t="s">
        <v>28</v>
      </c>
      <c r="D12" s="34" t="s">
        <v>29</v>
      </c>
      <c r="E12" s="34" t="s">
        <v>30</v>
      </c>
      <c r="F12" s="34" t="s">
        <v>31</v>
      </c>
      <c r="G12" s="34"/>
      <c r="H12" s="82" t="s">
        <v>19</v>
      </c>
      <c r="I12" s="34" t="s">
        <v>32</v>
      </c>
      <c r="J12" s="34" t="s">
        <v>91</v>
      </c>
      <c r="K12" s="34" t="s">
        <v>88</v>
      </c>
      <c r="L12" s="34" t="s">
        <v>95</v>
      </c>
      <c r="M12" s="34" t="s">
        <v>33</v>
      </c>
    </row>
    <row r="13" spans="1:13" s="41" customFormat="1" ht="18" customHeight="1" thickTop="1" x14ac:dyDescent="0.3">
      <c r="A13" s="35" cm="1">
        <f t="array" ref="A13:A72">_xlfn.SEQUENCE(60,,2027)</f>
        <v>2027</v>
      </c>
      <c r="B13" s="35" cm="1">
        <f t="array" ref="B13:B72">_xlfn.SEQUENCE(60)</f>
        <v>1</v>
      </c>
      <c r="C13" s="36"/>
      <c r="D13" s="37" cm="1">
        <f t="array" ref="D13:D72">-FV(I7,_xlfn.ANCHORARRAY(B13)-1,0,-_xlfn.XLOOKUP(C13:C72,_xlfn.ANCHORARRAY(Links!B2),_xlfn.ANCHORARRAY(Links!C2),0))</f>
        <v>0</v>
      </c>
      <c r="E13" s="38" cm="1">
        <f t="array" ref="E13:E72">-FV(I7,_xlfn.ANCHORARRAY(B13)-1,0,-D9)</f>
        <v>-252000</v>
      </c>
      <c r="F13" s="37" cm="1">
        <f t="array" ref="F13:F72">_xlfn.ANCHORARRAY(D13)+_xlfn.ANCHORARRAY(E13)</f>
        <v>-252000</v>
      </c>
      <c r="G13" s="40" t="b" cm="1">
        <f t="array" ref="G13:G72">IF(MOD(_xlfn.ANCHORARRAY(B13)-1,$I$9)=0,TRUE,FALSE)</f>
        <v>1</v>
      </c>
      <c r="H13" s="84" cm="1">
        <f t="array" ref="H13:H72">_xlfn.SCAN($D$10, _xlfn.SEQUENCE(ROWS(_xlfn.ANCHORARRAY(G13))), _xlfn.LAMBDA(_xlpm.prev,_xlpm.rowNum, IF(INDEX(_xlfn.ANCHORARRAY(G13), _xlpm.rowNum), FV($I$7, (_xlpm.rowNum-1), 0, -$D$10), _xlpm.prev)))</f>
        <v>72.75</v>
      </c>
      <c r="I13" s="39" cm="1">
        <f t="array" ref="I13:I72">_xlfn.ANCHORARRAY(H13)*12*D8</f>
        <v>523800</v>
      </c>
      <c r="J13" s="40" cm="1">
        <f t="array" ref="J13:J72">_xlfn.ANCHORARRAY(F13)+_xlfn.ANCHORARRAY(I13)</f>
        <v>271800</v>
      </c>
      <c r="K13" s="39" cm="1">
        <f t="array" ref="K13:K72">_xlfn.SCAN(0,_xlfn.ANCHORARRAY( J13), _xlfn.LAMBDA(_xlpm.a,_xlpm.b, _xlpm.a + _xlpm.b))</f>
        <v>271800</v>
      </c>
      <c r="L13" s="40">
        <v>0</v>
      </c>
      <c r="M13" s="80" cm="1">
        <f t="array" ref="M13:M72">_xlfn.VSTACK(L13,_xlfn.ANCHORARRAY(L14))+_xlfn.ANCHORARRAY(K13)</f>
        <v>271800</v>
      </c>
    </row>
    <row r="14" spans="1:13" s="43" customFormat="1" ht="18" customHeight="1" x14ac:dyDescent="0.3">
      <c r="A14" s="42">
        <v>2028</v>
      </c>
      <c r="B14" s="42">
        <v>2</v>
      </c>
      <c r="D14" s="44">
        <v>0</v>
      </c>
      <c r="E14" s="45">
        <v>-259560</v>
      </c>
      <c r="F14" s="44">
        <v>-259560</v>
      </c>
      <c r="G14" s="44" t="b">
        <v>0</v>
      </c>
      <c r="H14" s="83">
        <v>72.75</v>
      </c>
      <c r="I14" s="45">
        <v>523800</v>
      </c>
      <c r="J14" s="44">
        <v>264240</v>
      </c>
      <c r="K14" s="45">
        <v>536040</v>
      </c>
      <c r="L14" s="44" cm="1">
        <f t="array" ref="L14:L72">_xlfn.TAKE(_xlfn.ANCHORARRAY(K13),ROWS(_xlfn.ANCHORARRAY(K13))-1)*I8</f>
        <v>6795</v>
      </c>
      <c r="M14" s="46">
        <v>542835</v>
      </c>
    </row>
    <row r="15" spans="1:13" s="45" customFormat="1" ht="18" customHeight="1" x14ac:dyDescent="0.3">
      <c r="A15" s="42">
        <v>2029</v>
      </c>
      <c r="B15" s="42">
        <v>3</v>
      </c>
      <c r="D15" s="44">
        <v>0</v>
      </c>
      <c r="E15" s="45">
        <v>-267346.8</v>
      </c>
      <c r="F15" s="44">
        <v>-267346.8</v>
      </c>
      <c r="G15" s="44" t="b">
        <v>0</v>
      </c>
      <c r="H15" s="83">
        <v>72.75</v>
      </c>
      <c r="I15" s="45">
        <v>523800</v>
      </c>
      <c r="J15" s="44">
        <v>256453.2</v>
      </c>
      <c r="K15" s="45">
        <v>792493.2</v>
      </c>
      <c r="L15" s="44">
        <v>13401</v>
      </c>
      <c r="M15" s="46">
        <v>805894.2</v>
      </c>
    </row>
    <row r="16" spans="1:13" s="45" customFormat="1" ht="18" customHeight="1" x14ac:dyDescent="0.3">
      <c r="A16" s="42">
        <v>2030</v>
      </c>
      <c r="B16" s="42">
        <v>4</v>
      </c>
      <c r="D16" s="44">
        <v>0</v>
      </c>
      <c r="E16" s="45">
        <v>-275367.20400000003</v>
      </c>
      <c r="F16" s="44">
        <v>-275367.20400000003</v>
      </c>
      <c r="G16" s="44" t="b">
        <v>0</v>
      </c>
      <c r="H16" s="83">
        <v>72.75</v>
      </c>
      <c r="I16" s="45">
        <v>523800</v>
      </c>
      <c r="J16" s="44">
        <v>248432.79599999997</v>
      </c>
      <c r="K16" s="45">
        <v>1040925.9959999999</v>
      </c>
      <c r="L16" s="44">
        <v>19812.330000000002</v>
      </c>
      <c r="M16" s="46">
        <v>1060738.3259999999</v>
      </c>
    </row>
    <row r="17" spans="1:13" s="46" customFormat="1" ht="18" customHeight="1" x14ac:dyDescent="0.3">
      <c r="A17" s="42">
        <v>2031</v>
      </c>
      <c r="B17" s="42">
        <v>5</v>
      </c>
      <c r="D17" s="44">
        <v>0</v>
      </c>
      <c r="E17" s="45">
        <v>-283628.22011999995</v>
      </c>
      <c r="F17" s="44">
        <v>-283628.22011999995</v>
      </c>
      <c r="G17" s="44" t="b">
        <v>0</v>
      </c>
      <c r="H17" s="83">
        <v>72.75</v>
      </c>
      <c r="I17" s="45">
        <v>523800</v>
      </c>
      <c r="J17" s="44">
        <v>240171.77988000005</v>
      </c>
      <c r="K17" s="45">
        <v>1281097.7758800001</v>
      </c>
      <c r="L17" s="44">
        <v>26023.1499</v>
      </c>
      <c r="M17" s="46">
        <v>1307120.9257800002</v>
      </c>
    </row>
    <row r="18" spans="1:13" s="46" customFormat="1" ht="18" customHeight="1" x14ac:dyDescent="0.3">
      <c r="A18" s="42">
        <v>2032</v>
      </c>
      <c r="B18" s="42">
        <v>6</v>
      </c>
      <c r="D18" s="44">
        <v>0</v>
      </c>
      <c r="E18" s="45">
        <v>-292137.06672359997</v>
      </c>
      <c r="F18" s="44">
        <v>-292137.06672359997</v>
      </c>
      <c r="G18" s="44" t="b">
        <v>1</v>
      </c>
      <c r="H18" s="83">
        <v>84.337188905324993</v>
      </c>
      <c r="I18" s="45">
        <v>607227.76011834003</v>
      </c>
      <c r="J18" s="44">
        <v>315090.69339474005</v>
      </c>
      <c r="K18" s="45">
        <v>1596188.4692747402</v>
      </c>
      <c r="L18" s="44">
        <v>32027.444397000003</v>
      </c>
      <c r="M18" s="46">
        <v>1628215.9136717401</v>
      </c>
    </row>
    <row r="19" spans="1:13" s="46" customFormat="1" ht="18" customHeight="1" x14ac:dyDescent="0.3">
      <c r="A19" s="42">
        <v>2033</v>
      </c>
      <c r="B19" s="42">
        <v>7</v>
      </c>
      <c r="D19" s="44">
        <v>0</v>
      </c>
      <c r="E19" s="45">
        <v>-300901.17872530798</v>
      </c>
      <c r="F19" s="44">
        <v>-300901.17872530798</v>
      </c>
      <c r="G19" s="44" t="b">
        <v>0</v>
      </c>
      <c r="H19" s="83">
        <v>84.337188905324993</v>
      </c>
      <c r="I19" s="45">
        <v>607227.76011834003</v>
      </c>
      <c r="J19" s="44">
        <v>306326.58139303204</v>
      </c>
      <c r="K19" s="45">
        <v>1902515.0506677723</v>
      </c>
      <c r="L19" s="44">
        <v>39904.711731868505</v>
      </c>
      <c r="M19" s="46">
        <v>1942419.7623996409</v>
      </c>
    </row>
    <row r="20" spans="1:13" s="46" customFormat="1" ht="18" customHeight="1" x14ac:dyDescent="0.3">
      <c r="A20" s="42">
        <v>2034</v>
      </c>
      <c r="B20" s="42">
        <v>8</v>
      </c>
      <c r="D20" s="44">
        <v>0</v>
      </c>
      <c r="E20" s="45">
        <v>-309928.21408706723</v>
      </c>
      <c r="F20" s="44">
        <v>-309928.21408706723</v>
      </c>
      <c r="G20" s="44" t="b">
        <v>0</v>
      </c>
      <c r="H20" s="83">
        <v>84.337188905324993</v>
      </c>
      <c r="I20" s="45">
        <v>607227.76011834003</v>
      </c>
      <c r="J20" s="44">
        <v>297299.5460312728</v>
      </c>
      <c r="K20" s="45">
        <v>2199814.596699045</v>
      </c>
      <c r="L20" s="44">
        <v>47562.876266694308</v>
      </c>
      <c r="M20" s="46">
        <v>2247377.4729657392</v>
      </c>
    </row>
    <row r="21" spans="1:13" s="47" customFormat="1" ht="18" customHeight="1" x14ac:dyDescent="0.3">
      <c r="A21" s="42">
        <v>2035</v>
      </c>
      <c r="B21" s="42">
        <v>9</v>
      </c>
      <c r="C21" s="46"/>
      <c r="D21" s="44">
        <v>0</v>
      </c>
      <c r="E21" s="45">
        <v>-319226.0605096792</v>
      </c>
      <c r="F21" s="44">
        <v>-319226.0605096792</v>
      </c>
      <c r="G21" s="44" t="b">
        <v>0</v>
      </c>
      <c r="H21" s="83">
        <v>84.337188905324993</v>
      </c>
      <c r="I21" s="45">
        <v>607227.76011834003</v>
      </c>
      <c r="J21" s="44">
        <v>288001.69960866083</v>
      </c>
      <c r="K21" s="45">
        <v>2487816.2963077058</v>
      </c>
      <c r="L21" s="44">
        <v>54995.36491747613</v>
      </c>
      <c r="M21" s="46">
        <v>2542811.661225182</v>
      </c>
    </row>
    <row r="22" spans="1:13" s="47" customFormat="1" ht="18" customHeight="1" x14ac:dyDescent="0.3">
      <c r="A22" s="42">
        <v>2036</v>
      </c>
      <c r="B22" s="42">
        <v>10</v>
      </c>
      <c r="C22" s="46"/>
      <c r="D22" s="44">
        <v>0</v>
      </c>
      <c r="E22" s="45">
        <v>-328802.84232496959</v>
      </c>
      <c r="F22" s="44">
        <v>-328802.84232496959</v>
      </c>
      <c r="G22" s="44" t="b">
        <v>0</v>
      </c>
      <c r="H22" s="83">
        <v>84.337188905324993</v>
      </c>
      <c r="I22" s="45">
        <v>607227.76011834003</v>
      </c>
      <c r="J22" s="44">
        <v>278424.91779337043</v>
      </c>
      <c r="K22" s="45">
        <v>2766241.2141010761</v>
      </c>
      <c r="L22" s="44">
        <v>62195.407407692648</v>
      </c>
      <c r="M22" s="46">
        <v>2828436.6215087688</v>
      </c>
    </row>
    <row r="23" spans="1:13" s="48" customFormat="1" ht="18" customHeight="1" x14ac:dyDescent="0.3">
      <c r="A23" s="42">
        <v>2037</v>
      </c>
      <c r="B23" s="42">
        <v>11</v>
      </c>
      <c r="C23" s="46"/>
      <c r="D23" s="44">
        <v>0</v>
      </c>
      <c r="E23" s="45">
        <v>-338666.9275947187</v>
      </c>
      <c r="F23" s="44">
        <v>-338666.9275947187</v>
      </c>
      <c r="G23" s="44" t="b">
        <v>1</v>
      </c>
      <c r="H23" s="83">
        <v>97.769916597284862</v>
      </c>
      <c r="I23" s="45">
        <v>703943.39950045105</v>
      </c>
      <c r="J23" s="44">
        <v>365276.47190573235</v>
      </c>
      <c r="K23" s="45">
        <v>3131517.6860068087</v>
      </c>
      <c r="L23" s="44">
        <v>69156.030352526912</v>
      </c>
      <c r="M23" s="46">
        <v>3200673.7163593355</v>
      </c>
    </row>
    <row r="24" spans="1:13" s="48" customFormat="1" ht="18" customHeight="1" x14ac:dyDescent="0.3">
      <c r="A24" s="42">
        <v>2038</v>
      </c>
      <c r="B24" s="42">
        <v>12</v>
      </c>
      <c r="C24" s="46"/>
      <c r="D24" s="44">
        <v>0</v>
      </c>
      <c r="E24" s="45">
        <v>-348826.93542256026</v>
      </c>
      <c r="F24" s="44">
        <v>-348826.93542256026</v>
      </c>
      <c r="G24" s="44" t="b">
        <v>0</v>
      </c>
      <c r="H24" s="83">
        <v>97.769916597284862</v>
      </c>
      <c r="I24" s="45">
        <v>703943.39950045105</v>
      </c>
      <c r="J24" s="44">
        <v>355116.46407789079</v>
      </c>
      <c r="K24" s="45">
        <v>3486634.1500846995</v>
      </c>
      <c r="L24" s="44">
        <v>78287.942150170216</v>
      </c>
      <c r="M24" s="46">
        <v>3564922.0922348695</v>
      </c>
    </row>
    <row r="25" spans="1:13" s="48" customFormat="1" ht="18" customHeight="1" x14ac:dyDescent="0.3">
      <c r="A25" s="42">
        <v>2039</v>
      </c>
      <c r="B25" s="42">
        <v>13</v>
      </c>
      <c r="C25" s="46"/>
      <c r="D25" s="44">
        <v>0</v>
      </c>
      <c r="E25" s="45">
        <v>-359291.74348523701</v>
      </c>
      <c r="F25" s="44">
        <v>-359291.74348523701</v>
      </c>
      <c r="G25" s="44" t="b">
        <v>0</v>
      </c>
      <c r="H25" s="83">
        <v>97.769916597284862</v>
      </c>
      <c r="I25" s="45">
        <v>703943.39950045105</v>
      </c>
      <c r="J25" s="44">
        <v>344651.65601521404</v>
      </c>
      <c r="K25" s="45">
        <v>3831285.8060999135</v>
      </c>
      <c r="L25" s="44">
        <v>87165.853752117488</v>
      </c>
      <c r="M25" s="46">
        <v>3918451.6598520312</v>
      </c>
    </row>
    <row r="26" spans="1:13" s="48" customFormat="1" ht="18" customHeight="1" x14ac:dyDescent="0.3">
      <c r="A26" s="42">
        <v>2040</v>
      </c>
      <c r="B26" s="42">
        <v>14</v>
      </c>
      <c r="C26" s="46"/>
      <c r="D26" s="44">
        <v>0</v>
      </c>
      <c r="E26" s="45">
        <v>-370070.49578979413</v>
      </c>
      <c r="F26" s="44">
        <v>-370070.49578979413</v>
      </c>
      <c r="G26" s="44" t="b">
        <v>0</v>
      </c>
      <c r="H26" s="83">
        <v>97.769916597284862</v>
      </c>
      <c r="I26" s="45">
        <v>703943.39950045105</v>
      </c>
      <c r="J26" s="44">
        <v>333872.90371065692</v>
      </c>
      <c r="K26" s="45">
        <v>4165158.7098105703</v>
      </c>
      <c r="L26" s="44">
        <v>95782.145152497847</v>
      </c>
      <c r="M26" s="46">
        <v>4260940.8549630679</v>
      </c>
    </row>
    <row r="27" spans="1:13" s="48" customFormat="1" ht="18" customHeight="1" x14ac:dyDescent="0.3">
      <c r="A27" s="42">
        <v>2041</v>
      </c>
      <c r="B27" s="42">
        <v>15</v>
      </c>
      <c r="C27" s="46" t="s">
        <v>56</v>
      </c>
      <c r="D27" s="44">
        <v>-144074.17129244932</v>
      </c>
      <c r="E27" s="45">
        <v>-381172.61066348798</v>
      </c>
      <c r="F27" s="44">
        <v>-525246.78195593727</v>
      </c>
      <c r="G27" s="44" t="b">
        <v>0</v>
      </c>
      <c r="H27" s="83">
        <v>97.769916597284862</v>
      </c>
      <c r="I27" s="45">
        <v>703943.39950045105</v>
      </c>
      <c r="J27" s="44">
        <v>178696.61754451378</v>
      </c>
      <c r="K27" s="45">
        <v>4343855.327355084</v>
      </c>
      <c r="L27" s="44">
        <v>104128.96774526426</v>
      </c>
      <c r="M27" s="46">
        <v>4447984.2951003481</v>
      </c>
    </row>
    <row r="28" spans="1:13" s="48" customFormat="1" ht="18" customHeight="1" x14ac:dyDescent="0.3">
      <c r="A28" s="42">
        <v>2042</v>
      </c>
      <c r="B28" s="42">
        <v>16</v>
      </c>
      <c r="C28" s="46"/>
      <c r="D28" s="44">
        <v>0</v>
      </c>
      <c r="E28" s="45">
        <v>-392607.78898339265</v>
      </c>
      <c r="F28" s="44">
        <v>-392607.78898339265</v>
      </c>
      <c r="G28" s="44" t="b">
        <v>1</v>
      </c>
      <c r="H28" s="83">
        <v>113.34212955770562</v>
      </c>
      <c r="I28" s="45">
        <v>816063.33281548042</v>
      </c>
      <c r="J28" s="44">
        <v>423455.54383208777</v>
      </c>
      <c r="K28" s="45">
        <v>4767310.8711871719</v>
      </c>
      <c r="L28" s="44">
        <v>108596.3831838771</v>
      </c>
      <c r="M28" s="46">
        <v>4875907.2543710489</v>
      </c>
    </row>
    <row r="29" spans="1:13" s="48" customFormat="1" ht="18" customHeight="1" x14ac:dyDescent="0.3">
      <c r="A29" s="42">
        <v>2043</v>
      </c>
      <c r="B29" s="42">
        <v>17</v>
      </c>
      <c r="C29" s="46"/>
      <c r="D29" s="44">
        <v>0</v>
      </c>
      <c r="E29" s="45">
        <v>-404386.02265289432</v>
      </c>
      <c r="F29" s="44">
        <v>-404386.02265289432</v>
      </c>
      <c r="G29" s="44" t="b">
        <v>0</v>
      </c>
      <c r="H29" s="83">
        <v>113.34212955770562</v>
      </c>
      <c r="I29" s="45">
        <v>816063.33281548042</v>
      </c>
      <c r="J29" s="44">
        <v>411677.3101625861</v>
      </c>
      <c r="K29" s="45">
        <v>5178988.1813497581</v>
      </c>
      <c r="L29" s="44">
        <v>119182.7717796793</v>
      </c>
      <c r="M29" s="46">
        <v>5298170.9531294378</v>
      </c>
    </row>
    <row r="30" spans="1:13" s="48" customFormat="1" ht="18" customHeight="1" x14ac:dyDescent="0.3">
      <c r="A30" s="42">
        <v>2044</v>
      </c>
      <c r="B30" s="42">
        <v>18</v>
      </c>
      <c r="C30" s="46"/>
      <c r="D30" s="44">
        <v>0</v>
      </c>
      <c r="E30" s="45">
        <v>-416517.60333248117</v>
      </c>
      <c r="F30" s="44">
        <v>-416517.60333248117</v>
      </c>
      <c r="G30" s="44" t="b">
        <v>0</v>
      </c>
      <c r="H30" s="83">
        <v>113.34212955770562</v>
      </c>
      <c r="I30" s="45">
        <v>816063.33281548042</v>
      </c>
      <c r="J30" s="44">
        <v>399545.72948299925</v>
      </c>
      <c r="K30" s="45">
        <v>5578533.9108327571</v>
      </c>
      <c r="L30" s="44">
        <v>129474.70453374396</v>
      </c>
      <c r="M30" s="46">
        <v>5708008.6153665008</v>
      </c>
    </row>
    <row r="31" spans="1:13" s="48" customFormat="1" ht="18" customHeight="1" x14ac:dyDescent="0.3">
      <c r="A31" s="42">
        <v>2045</v>
      </c>
      <c r="B31" s="42">
        <v>19</v>
      </c>
      <c r="C31" s="46"/>
      <c r="D31" s="44">
        <v>0</v>
      </c>
      <c r="E31" s="45">
        <v>-429013.13143245562</v>
      </c>
      <c r="F31" s="44">
        <v>-429013.13143245562</v>
      </c>
      <c r="G31" s="44" t="b">
        <v>0</v>
      </c>
      <c r="H31" s="83">
        <v>113.34212955770562</v>
      </c>
      <c r="I31" s="45">
        <v>816063.33281548042</v>
      </c>
      <c r="J31" s="44">
        <v>387050.2013830248</v>
      </c>
      <c r="K31" s="45">
        <v>5965584.1122157816</v>
      </c>
      <c r="L31" s="44">
        <v>139463.34777081895</v>
      </c>
      <c r="M31" s="46">
        <v>6105047.4599866001</v>
      </c>
    </row>
    <row r="32" spans="1:13" s="48" customFormat="1" ht="18" customHeight="1" x14ac:dyDescent="0.3">
      <c r="A32" s="42">
        <v>2046</v>
      </c>
      <c r="B32" s="42">
        <v>20</v>
      </c>
      <c r="C32" s="46"/>
      <c r="D32" s="44">
        <v>0</v>
      </c>
      <c r="E32" s="45">
        <v>-441883.52537542925</v>
      </c>
      <c r="F32" s="44">
        <v>-441883.52537542925</v>
      </c>
      <c r="G32" s="44" t="b">
        <v>0</v>
      </c>
      <c r="H32" s="83">
        <v>113.34212955770562</v>
      </c>
      <c r="I32" s="45">
        <v>816063.33281548042</v>
      </c>
      <c r="J32" s="44">
        <v>374179.80744005117</v>
      </c>
      <c r="K32" s="45">
        <v>6339763.9196558325</v>
      </c>
      <c r="L32" s="44">
        <v>149139.60280539453</v>
      </c>
      <c r="M32" s="46">
        <v>6488903.5224612271</v>
      </c>
    </row>
    <row r="33" spans="1:13" s="48" customFormat="1" ht="18" customHeight="1" x14ac:dyDescent="0.3">
      <c r="A33" s="42">
        <v>2047</v>
      </c>
      <c r="B33" s="42">
        <v>21</v>
      </c>
      <c r="C33" s="46"/>
      <c r="D33" s="44">
        <v>0</v>
      </c>
      <c r="E33" s="45">
        <v>-455140.03113669215</v>
      </c>
      <c r="F33" s="44">
        <v>-455140.03113669215</v>
      </c>
      <c r="G33" s="44" t="b">
        <v>1</v>
      </c>
      <c r="H33" s="83">
        <v>131.39459232219983</v>
      </c>
      <c r="I33" s="45">
        <v>946041.06471983867</v>
      </c>
      <c r="J33" s="44">
        <v>490901.03358314652</v>
      </c>
      <c r="K33" s="45">
        <v>6830664.953238979</v>
      </c>
      <c r="L33" s="44">
        <v>158494.09799139583</v>
      </c>
      <c r="M33" s="46">
        <v>6989159.0512303747</v>
      </c>
    </row>
    <row r="34" spans="1:13" s="48" customFormat="1" ht="18" customHeight="1" x14ac:dyDescent="0.3">
      <c r="A34" s="42">
        <v>2048</v>
      </c>
      <c r="B34" s="42">
        <v>22</v>
      </c>
      <c r="C34" s="46"/>
      <c r="D34" s="44">
        <v>0</v>
      </c>
      <c r="E34" s="45">
        <v>-468794.23207079282</v>
      </c>
      <c r="F34" s="44">
        <v>-468794.23207079282</v>
      </c>
      <c r="G34" s="44" t="b">
        <v>0</v>
      </c>
      <c r="H34" s="83">
        <v>131.39459232219983</v>
      </c>
      <c r="I34" s="45">
        <v>946041.06471983867</v>
      </c>
      <c r="J34" s="44">
        <v>477246.83264904586</v>
      </c>
      <c r="K34" s="45">
        <v>7307911.7858880246</v>
      </c>
      <c r="L34" s="44">
        <v>170766.62383097448</v>
      </c>
      <c r="M34" s="46">
        <v>7478678.4097189987</v>
      </c>
    </row>
    <row r="35" spans="1:13" s="48" customFormat="1" ht="18" customHeight="1" x14ac:dyDescent="0.3">
      <c r="A35" s="42">
        <v>2049</v>
      </c>
      <c r="B35" s="42">
        <v>23</v>
      </c>
      <c r="C35" s="46"/>
      <c r="D35" s="44">
        <v>0</v>
      </c>
      <c r="E35" s="45">
        <v>-482858.05903291667</v>
      </c>
      <c r="F35" s="44">
        <v>-482858.05903291667</v>
      </c>
      <c r="G35" s="44" t="b">
        <v>0</v>
      </c>
      <c r="H35" s="83">
        <v>131.39459232219983</v>
      </c>
      <c r="I35" s="45">
        <v>946041.06471983867</v>
      </c>
      <c r="J35" s="44">
        <v>463183.005686922</v>
      </c>
      <c r="K35" s="45">
        <v>7771094.7915749466</v>
      </c>
      <c r="L35" s="44">
        <v>182697.79464720062</v>
      </c>
      <c r="M35" s="46">
        <v>7953792.5862221476</v>
      </c>
    </row>
    <row r="36" spans="1:13" s="48" customFormat="1" ht="18" customHeight="1" x14ac:dyDescent="0.3">
      <c r="A36" s="42">
        <v>2050</v>
      </c>
      <c r="B36" s="42">
        <v>24</v>
      </c>
      <c r="C36" s="46"/>
      <c r="D36" s="44">
        <v>0</v>
      </c>
      <c r="E36" s="45">
        <v>-497343.80080390419</v>
      </c>
      <c r="F36" s="44">
        <v>-497343.80080390419</v>
      </c>
      <c r="G36" s="44" t="b">
        <v>0</v>
      </c>
      <c r="H36" s="83">
        <v>131.39459232219983</v>
      </c>
      <c r="I36" s="45">
        <v>946041.06471983867</v>
      </c>
      <c r="J36" s="44">
        <v>448697.26391593448</v>
      </c>
      <c r="K36" s="45">
        <v>8219792.0554908812</v>
      </c>
      <c r="L36" s="44">
        <v>194277.36978937368</v>
      </c>
      <c r="M36" s="46">
        <v>8414069.4252802543</v>
      </c>
    </row>
    <row r="37" spans="1:13" s="48" customFormat="1" ht="18" customHeight="1" x14ac:dyDescent="0.3">
      <c r="A37" s="42">
        <v>2051</v>
      </c>
      <c r="B37" s="42">
        <v>25</v>
      </c>
      <c r="C37" s="46"/>
      <c r="D37" s="44">
        <v>0</v>
      </c>
      <c r="E37" s="45">
        <v>-512264.11482802127</v>
      </c>
      <c r="F37" s="44">
        <v>-512264.11482802127</v>
      </c>
      <c r="G37" s="44" t="b">
        <v>0</v>
      </c>
      <c r="H37" s="83">
        <v>131.39459232219983</v>
      </c>
      <c r="I37" s="45">
        <v>946041.06471983867</v>
      </c>
      <c r="J37" s="44">
        <v>433776.94989181741</v>
      </c>
      <c r="K37" s="45">
        <v>8653569.005382698</v>
      </c>
      <c r="L37" s="44">
        <v>205494.80138727205</v>
      </c>
      <c r="M37" s="46">
        <v>8859063.8067699708</v>
      </c>
    </row>
    <row r="38" spans="1:13" s="48" customFormat="1" ht="18" customHeight="1" x14ac:dyDescent="0.3">
      <c r="A38" s="42">
        <v>2052</v>
      </c>
      <c r="B38" s="42">
        <v>26</v>
      </c>
      <c r="C38" s="46"/>
      <c r="D38" s="44">
        <v>0</v>
      </c>
      <c r="E38" s="45">
        <v>-527632.03827286186</v>
      </c>
      <c r="F38" s="44">
        <v>-527632.03827286186</v>
      </c>
      <c r="G38" s="44" t="b">
        <v>1</v>
      </c>
      <c r="H38" s="83">
        <v>152.32234438234406</v>
      </c>
      <c r="I38" s="45">
        <v>1096720.8795528773</v>
      </c>
      <c r="J38" s="44">
        <v>569088.84128001542</v>
      </c>
      <c r="K38" s="45">
        <v>9222657.8466627132</v>
      </c>
      <c r="L38" s="44">
        <v>216339.22513456747</v>
      </c>
      <c r="M38" s="46">
        <v>9438997.0717972815</v>
      </c>
    </row>
    <row r="39" spans="1:13" s="48" customFormat="1" ht="18" customHeight="1" x14ac:dyDescent="0.3">
      <c r="A39" s="42">
        <v>2053</v>
      </c>
      <c r="B39" s="42">
        <v>27</v>
      </c>
      <c r="C39" s="46"/>
      <c r="D39" s="44">
        <v>0</v>
      </c>
      <c r="E39" s="45">
        <v>-543460.99942104786</v>
      </c>
      <c r="F39" s="44">
        <v>-543460.99942104786</v>
      </c>
      <c r="G39" s="44" t="b">
        <v>0</v>
      </c>
      <c r="H39" s="83">
        <v>152.32234438234406</v>
      </c>
      <c r="I39" s="45">
        <v>1096720.8795528773</v>
      </c>
      <c r="J39" s="44">
        <v>553259.88013182941</v>
      </c>
      <c r="K39" s="45">
        <v>9775917.7267945427</v>
      </c>
      <c r="L39" s="44">
        <v>230566.44616656785</v>
      </c>
      <c r="M39" s="46">
        <v>10006484.17296111</v>
      </c>
    </row>
    <row r="40" spans="1:13" s="48" customFormat="1" ht="18" customHeight="1" x14ac:dyDescent="0.3">
      <c r="A40" s="42">
        <v>2054</v>
      </c>
      <c r="B40" s="42">
        <v>28</v>
      </c>
      <c r="C40" s="46"/>
      <c r="D40" s="44">
        <v>0</v>
      </c>
      <c r="E40" s="45">
        <v>-559764.82940367924</v>
      </c>
      <c r="F40" s="44">
        <v>-559764.82940367924</v>
      </c>
      <c r="G40" s="44" t="b">
        <v>0</v>
      </c>
      <c r="H40" s="83">
        <v>152.32234438234406</v>
      </c>
      <c r="I40" s="45">
        <v>1096720.8795528773</v>
      </c>
      <c r="J40" s="44">
        <v>536956.05014919804</v>
      </c>
      <c r="K40" s="45">
        <v>10312873.776943741</v>
      </c>
      <c r="L40" s="44">
        <v>244397.94316986357</v>
      </c>
      <c r="M40" s="46">
        <v>10557271.720113605</v>
      </c>
    </row>
    <row r="41" spans="1:13" s="48" customFormat="1" ht="18" customHeight="1" x14ac:dyDescent="0.3">
      <c r="A41" s="42">
        <v>2055</v>
      </c>
      <c r="B41" s="42">
        <v>29</v>
      </c>
      <c r="C41" s="46"/>
      <c r="D41" s="44">
        <v>0</v>
      </c>
      <c r="E41" s="45">
        <v>-576557.77428578958</v>
      </c>
      <c r="F41" s="44">
        <v>-576557.77428578958</v>
      </c>
      <c r="G41" s="44" t="b">
        <v>0</v>
      </c>
      <c r="H41" s="83">
        <v>152.32234438234406</v>
      </c>
      <c r="I41" s="45">
        <v>1096720.8795528773</v>
      </c>
      <c r="J41" s="44">
        <v>520163.1052670877</v>
      </c>
      <c r="K41" s="45">
        <v>10833036.882210828</v>
      </c>
      <c r="L41" s="44">
        <v>257821.84442359355</v>
      </c>
      <c r="M41" s="46">
        <v>11090858.726634422</v>
      </c>
    </row>
    <row r="42" spans="1:13" s="48" customFormat="1" ht="18" customHeight="1" x14ac:dyDescent="0.3">
      <c r="A42" s="42">
        <v>2056</v>
      </c>
      <c r="B42" s="42">
        <v>30</v>
      </c>
      <c r="C42" s="46" t="s">
        <v>56</v>
      </c>
      <c r="D42" s="44">
        <v>-224462.86444739322</v>
      </c>
      <c r="E42" s="45">
        <v>-593854.50751436315</v>
      </c>
      <c r="F42" s="44">
        <v>-818317.37196175638</v>
      </c>
      <c r="G42" s="44" t="b">
        <v>0</v>
      </c>
      <c r="H42" s="83">
        <v>152.32234438234406</v>
      </c>
      <c r="I42" s="45">
        <v>1096720.8795528773</v>
      </c>
      <c r="J42" s="44">
        <v>278403.5075911209</v>
      </c>
      <c r="K42" s="45">
        <v>11111440.389801949</v>
      </c>
      <c r="L42" s="44">
        <v>270825.9220552707</v>
      </c>
      <c r="M42" s="46">
        <v>11382266.31185722</v>
      </c>
    </row>
    <row r="43" spans="1:13" s="48" customFormat="1" ht="18" customHeight="1" x14ac:dyDescent="0.3">
      <c r="A43" s="42">
        <v>2057</v>
      </c>
      <c r="B43" s="42">
        <v>31</v>
      </c>
      <c r="C43" s="46"/>
      <c r="D43" s="44">
        <v>0</v>
      </c>
      <c r="E43" s="45">
        <v>-611670.1427397941</v>
      </c>
      <c r="F43" s="44">
        <v>-611670.1427397941</v>
      </c>
      <c r="G43" s="44" t="b">
        <v>1</v>
      </c>
      <c r="H43" s="83">
        <v>176.58334477904771</v>
      </c>
      <c r="I43" s="45">
        <v>1271400.0824091434</v>
      </c>
      <c r="J43" s="44">
        <v>659729.93966934935</v>
      </c>
      <c r="K43" s="45">
        <v>11771170.329471299</v>
      </c>
      <c r="L43" s="44">
        <v>277786.00974504877</v>
      </c>
      <c r="M43" s="46">
        <v>12048956.339216348</v>
      </c>
    </row>
    <row r="44" spans="1:13" s="48" customFormat="1" ht="18" customHeight="1" x14ac:dyDescent="0.3">
      <c r="A44" s="42">
        <v>2058</v>
      </c>
      <c r="B44" s="42">
        <v>32</v>
      </c>
      <c r="C44" s="46"/>
      <c r="D44" s="44">
        <v>0</v>
      </c>
      <c r="E44" s="45">
        <v>-630020.24702198803</v>
      </c>
      <c r="F44" s="44">
        <v>-630020.24702198803</v>
      </c>
      <c r="G44" s="44" t="b">
        <v>0</v>
      </c>
      <c r="H44" s="83">
        <v>176.58334477904771</v>
      </c>
      <c r="I44" s="45">
        <v>1271400.0824091434</v>
      </c>
      <c r="J44" s="44">
        <v>641379.83538715541</v>
      </c>
      <c r="K44" s="45">
        <v>12412550.164858455</v>
      </c>
      <c r="L44" s="44">
        <v>294279.25823678251</v>
      </c>
      <c r="M44" s="46">
        <v>12706829.423095237</v>
      </c>
    </row>
    <row r="45" spans="1:13" s="48" customFormat="1" ht="18" customHeight="1" x14ac:dyDescent="0.3">
      <c r="A45" s="42">
        <v>2059</v>
      </c>
      <c r="B45" s="42">
        <v>33</v>
      </c>
      <c r="C45" s="46"/>
      <c r="D45" s="44">
        <v>0</v>
      </c>
      <c r="E45" s="45">
        <v>-648920.85443264758</v>
      </c>
      <c r="F45" s="44">
        <v>-648920.85443264758</v>
      </c>
      <c r="G45" s="44" t="b">
        <v>0</v>
      </c>
      <c r="H45" s="83">
        <v>176.58334477904771</v>
      </c>
      <c r="I45" s="45">
        <v>1271400.0824091434</v>
      </c>
      <c r="J45" s="44">
        <v>622479.22797649587</v>
      </c>
      <c r="K45" s="45">
        <v>13035029.39283495</v>
      </c>
      <c r="L45" s="44">
        <v>310313.75412146136</v>
      </c>
      <c r="M45" s="46">
        <v>13345343.146956412</v>
      </c>
    </row>
    <row r="46" spans="1:13" s="48" customFormat="1" ht="18" customHeight="1" x14ac:dyDescent="0.3">
      <c r="A46" s="42">
        <v>2060</v>
      </c>
      <c r="B46" s="42">
        <v>34</v>
      </c>
      <c r="C46" s="46"/>
      <c r="D46" s="44">
        <v>0</v>
      </c>
      <c r="E46" s="45">
        <v>-668388.48006562702</v>
      </c>
      <c r="F46" s="44">
        <v>-668388.48006562702</v>
      </c>
      <c r="G46" s="44" t="b">
        <v>0</v>
      </c>
      <c r="H46" s="83">
        <v>176.58334477904771</v>
      </c>
      <c r="I46" s="45">
        <v>1271400.0824091434</v>
      </c>
      <c r="J46" s="44">
        <v>603011.60234351642</v>
      </c>
      <c r="K46" s="45">
        <v>13638040.995178467</v>
      </c>
      <c r="L46" s="44">
        <v>325875.73482087377</v>
      </c>
      <c r="M46" s="46">
        <v>13963916.729999341</v>
      </c>
    </row>
    <row r="47" spans="1:13" s="48" customFormat="1" ht="18" customHeight="1" x14ac:dyDescent="0.3">
      <c r="A47" s="42">
        <v>2061</v>
      </c>
      <c r="B47" s="42">
        <v>35</v>
      </c>
      <c r="C47" s="46"/>
      <c r="D47" s="44">
        <v>0</v>
      </c>
      <c r="E47" s="45">
        <v>-688440.13446759572</v>
      </c>
      <c r="F47" s="44">
        <v>-688440.13446759572</v>
      </c>
      <c r="G47" s="44" t="b">
        <v>0</v>
      </c>
      <c r="H47" s="83">
        <v>176.58334477904771</v>
      </c>
      <c r="I47" s="45">
        <v>1271400.0824091434</v>
      </c>
      <c r="J47" s="44">
        <v>582959.94794154773</v>
      </c>
      <c r="K47" s="45">
        <v>14221000.943120014</v>
      </c>
      <c r="L47" s="44">
        <v>340951.02487946168</v>
      </c>
      <c r="M47" s="46">
        <v>14561951.967999475</v>
      </c>
    </row>
    <row r="48" spans="1:13" s="48" customFormat="1" ht="18" customHeight="1" x14ac:dyDescent="0.3">
      <c r="A48" s="42">
        <v>2062</v>
      </c>
      <c r="B48" s="42">
        <v>36</v>
      </c>
      <c r="C48" s="46"/>
      <c r="D48" s="44">
        <v>0</v>
      </c>
      <c r="E48" s="45">
        <v>-709093.33850162372</v>
      </c>
      <c r="F48" s="44">
        <v>-709093.33850162372</v>
      </c>
      <c r="G48" s="44" t="b">
        <v>1</v>
      </c>
      <c r="H48" s="83">
        <v>204.70849355552826</v>
      </c>
      <c r="I48" s="45">
        <v>1473901.1535998033</v>
      </c>
      <c r="J48" s="44">
        <v>764807.81509817962</v>
      </c>
      <c r="K48" s="45">
        <v>14985808.758218193</v>
      </c>
      <c r="L48" s="44">
        <v>355525.02357800037</v>
      </c>
      <c r="M48" s="46">
        <v>15341333.781796195</v>
      </c>
    </row>
    <row r="49" spans="1:13" s="48" customFormat="1" ht="18" customHeight="1" x14ac:dyDescent="0.3">
      <c r="A49" s="42">
        <v>2063</v>
      </c>
      <c r="B49" s="42">
        <v>37</v>
      </c>
      <c r="C49" s="46"/>
      <c r="D49" s="44">
        <v>0</v>
      </c>
      <c r="E49" s="45">
        <v>-730366.13865667232</v>
      </c>
      <c r="F49" s="44">
        <v>-730366.13865667232</v>
      </c>
      <c r="G49" s="44" t="b">
        <v>0</v>
      </c>
      <c r="H49" s="83">
        <v>204.70849355552826</v>
      </c>
      <c r="I49" s="45">
        <v>1473901.1535998033</v>
      </c>
      <c r="J49" s="44">
        <v>743535.01494313101</v>
      </c>
      <c r="K49" s="45">
        <v>15729343.773161324</v>
      </c>
      <c r="L49" s="44">
        <v>374645.21895545488</v>
      </c>
      <c r="M49" s="46">
        <v>16103988.992116779</v>
      </c>
    </row>
    <row r="50" spans="1:13" s="48" customFormat="1" ht="18" customHeight="1" x14ac:dyDescent="0.3">
      <c r="A50" s="42">
        <v>2064</v>
      </c>
      <c r="B50" s="42">
        <v>38</v>
      </c>
      <c r="C50" s="46"/>
      <c r="D50" s="44">
        <v>0</v>
      </c>
      <c r="E50" s="45">
        <v>-752277.12281637243</v>
      </c>
      <c r="F50" s="44">
        <v>-752277.12281637243</v>
      </c>
      <c r="G50" s="44" t="b">
        <v>0</v>
      </c>
      <c r="H50" s="83">
        <v>204.70849355552826</v>
      </c>
      <c r="I50" s="45">
        <v>1473901.1535998033</v>
      </c>
      <c r="J50" s="44">
        <v>721624.03078343091</v>
      </c>
      <c r="K50" s="45">
        <v>16450967.803944755</v>
      </c>
      <c r="L50" s="44">
        <v>393233.59432903311</v>
      </c>
      <c r="M50" s="46">
        <v>16844201.398273788</v>
      </c>
    </row>
    <row r="51" spans="1:13" s="48" customFormat="1" ht="18" customHeight="1" x14ac:dyDescent="0.3">
      <c r="A51" s="42">
        <v>2065</v>
      </c>
      <c r="B51" s="42">
        <v>39</v>
      </c>
      <c r="C51" s="46"/>
      <c r="D51" s="44">
        <v>0</v>
      </c>
      <c r="E51" s="45">
        <v>-774845.43650086364</v>
      </c>
      <c r="F51" s="44">
        <v>-774845.43650086364</v>
      </c>
      <c r="G51" s="44" t="b">
        <v>0</v>
      </c>
      <c r="H51" s="83">
        <v>204.70849355552826</v>
      </c>
      <c r="I51" s="45">
        <v>1473901.1535998033</v>
      </c>
      <c r="J51" s="44">
        <v>699055.7170989397</v>
      </c>
      <c r="K51" s="45">
        <v>17150023.521043696</v>
      </c>
      <c r="L51" s="44">
        <v>411274.19509861892</v>
      </c>
      <c r="M51" s="46">
        <v>17561297.716142315</v>
      </c>
    </row>
    <row r="52" spans="1:13" s="48" customFormat="1" ht="18" customHeight="1" x14ac:dyDescent="0.3">
      <c r="A52" s="42">
        <v>2066</v>
      </c>
      <c r="B52" s="42">
        <v>40</v>
      </c>
      <c r="C52" s="46"/>
      <c r="D52" s="44">
        <v>0</v>
      </c>
      <c r="E52" s="45">
        <v>-798090.79959588964</v>
      </c>
      <c r="F52" s="44">
        <v>-798090.79959588964</v>
      </c>
      <c r="G52" s="44" t="b">
        <v>0</v>
      </c>
      <c r="H52" s="83">
        <v>204.70849355552826</v>
      </c>
      <c r="I52" s="45">
        <v>1473901.1535998033</v>
      </c>
      <c r="J52" s="44">
        <v>675810.3540039137</v>
      </c>
      <c r="K52" s="45">
        <v>17825833.875047609</v>
      </c>
      <c r="L52" s="44">
        <v>428750.58802609239</v>
      </c>
      <c r="M52" s="46">
        <v>18254584.463073701</v>
      </c>
    </row>
    <row r="53" spans="1:13" s="48" customFormat="1" ht="18" customHeight="1" x14ac:dyDescent="0.3">
      <c r="A53" s="42">
        <v>2067</v>
      </c>
      <c r="B53" s="42">
        <v>41</v>
      </c>
      <c r="C53" s="46"/>
      <c r="D53" s="44">
        <v>0</v>
      </c>
      <c r="E53" s="45">
        <v>-822033.52358376619</v>
      </c>
      <c r="F53" s="44">
        <v>-822033.52358376619</v>
      </c>
      <c r="G53" s="44" t="b">
        <v>1</v>
      </c>
      <c r="H53" s="83">
        <v>237.31324936793249</v>
      </c>
      <c r="I53" s="45">
        <v>1708655.3954491138</v>
      </c>
      <c r="J53" s="44">
        <v>886621.87186534761</v>
      </c>
      <c r="K53" s="45">
        <v>18712455.746912956</v>
      </c>
      <c r="L53" s="44">
        <v>445645.84687619028</v>
      </c>
      <c r="M53" s="46">
        <v>19158101.593789145</v>
      </c>
    </row>
    <row r="54" spans="1:13" s="48" customFormat="1" ht="18" customHeight="1" x14ac:dyDescent="0.3">
      <c r="A54" s="42">
        <v>2068</v>
      </c>
      <c r="B54" s="42">
        <v>42</v>
      </c>
      <c r="C54" s="46"/>
      <c r="D54" s="44">
        <v>0</v>
      </c>
      <c r="E54" s="45">
        <v>-846694.52929127915</v>
      </c>
      <c r="F54" s="44">
        <v>-846694.52929127915</v>
      </c>
      <c r="G54" s="44" t="b">
        <v>0</v>
      </c>
      <c r="H54" s="83">
        <v>237.31324936793249</v>
      </c>
      <c r="I54" s="45">
        <v>1708655.3954491138</v>
      </c>
      <c r="J54" s="44">
        <v>861960.86615783465</v>
      </c>
      <c r="K54" s="45">
        <v>19574416.61307079</v>
      </c>
      <c r="L54" s="44">
        <v>467811.39367282391</v>
      </c>
      <c r="M54" s="46">
        <v>20042228.006743614</v>
      </c>
    </row>
    <row r="55" spans="1:13" s="48" customFormat="1" ht="18" customHeight="1" x14ac:dyDescent="0.3">
      <c r="A55" s="42">
        <v>2069</v>
      </c>
      <c r="B55" s="42">
        <v>43</v>
      </c>
      <c r="C55" s="46" t="s">
        <v>56</v>
      </c>
      <c r="D55" s="44">
        <v>-329631.28385890549</v>
      </c>
      <c r="E55" s="45">
        <v>-872095.36517001758</v>
      </c>
      <c r="F55" s="44">
        <v>-1201726.6490289231</v>
      </c>
      <c r="G55" s="44" t="b">
        <v>0</v>
      </c>
      <c r="H55" s="83">
        <v>237.31324936793249</v>
      </c>
      <c r="I55" s="45">
        <v>1708655.3954491138</v>
      </c>
      <c r="J55" s="44">
        <v>506928.74642019067</v>
      </c>
      <c r="K55" s="45">
        <v>20081345.359490979</v>
      </c>
      <c r="L55" s="44">
        <v>489360.41532676975</v>
      </c>
      <c r="M55" s="46">
        <v>20570705.77481775</v>
      </c>
    </row>
    <row r="56" spans="1:13" s="48" customFormat="1" ht="18" customHeight="1" x14ac:dyDescent="0.3">
      <c r="A56" s="42">
        <v>2070</v>
      </c>
      <c r="B56" s="42">
        <v>44</v>
      </c>
      <c r="C56" s="46" t="s">
        <v>48</v>
      </c>
      <c r="D56" s="44">
        <v>-1919986.8575287736</v>
      </c>
      <c r="E56" s="45">
        <v>-898258.22612511809</v>
      </c>
      <c r="F56" s="44">
        <v>-2818245.0836538915</v>
      </c>
      <c r="G56" s="44" t="b">
        <v>0</v>
      </c>
      <c r="H56" s="83">
        <v>237.31324936793249</v>
      </c>
      <c r="I56" s="45">
        <v>1708655.3954491138</v>
      </c>
      <c r="J56" s="44">
        <v>-1109589.6882047777</v>
      </c>
      <c r="K56" s="45">
        <v>18971755.671286203</v>
      </c>
      <c r="L56" s="44">
        <v>502033.63398727449</v>
      </c>
      <c r="M56" s="46">
        <v>19473789.305273477</v>
      </c>
    </row>
    <row r="57" spans="1:13" s="48" customFormat="1" ht="18" customHeight="1" x14ac:dyDescent="0.3">
      <c r="A57" s="42">
        <v>2071</v>
      </c>
      <c r="B57" s="42">
        <v>45</v>
      </c>
      <c r="C57" s="46" t="s">
        <v>49</v>
      </c>
      <c r="D57" s="44">
        <v>-1647114.4548062491</v>
      </c>
      <c r="E57" s="45">
        <v>-925205.97290887148</v>
      </c>
      <c r="F57" s="44">
        <v>-2572320.4277151208</v>
      </c>
      <c r="G57" s="44" t="b">
        <v>0</v>
      </c>
      <c r="H57" s="83">
        <v>237.31324936793249</v>
      </c>
      <c r="I57" s="45">
        <v>1708655.3954491138</v>
      </c>
      <c r="J57" s="44">
        <v>-863665.03226600704</v>
      </c>
      <c r="K57" s="45">
        <v>18108090.639020197</v>
      </c>
      <c r="L57" s="44">
        <v>474293.89178215509</v>
      </c>
      <c r="M57" s="46">
        <v>18582384.53080235</v>
      </c>
    </row>
    <row r="58" spans="1:13" s="48" customFormat="1" ht="18" customHeight="1" x14ac:dyDescent="0.3">
      <c r="A58" s="42">
        <v>2072</v>
      </c>
      <c r="B58" s="42">
        <v>46</v>
      </c>
      <c r="C58" s="46" t="s">
        <v>50</v>
      </c>
      <c r="D58" s="44">
        <v>-3093491.9353096602</v>
      </c>
      <c r="E58" s="45">
        <v>-952962.15209613764</v>
      </c>
      <c r="F58" s="44">
        <v>-4046454.087405798</v>
      </c>
      <c r="G58" s="44" t="b">
        <v>1</v>
      </c>
      <c r="H58" s="83">
        <v>275.11109748013496</v>
      </c>
      <c r="I58" s="45">
        <v>1980799.9018569717</v>
      </c>
      <c r="J58" s="44">
        <v>-2065654.1855488264</v>
      </c>
      <c r="K58" s="45">
        <v>16042436.45347137</v>
      </c>
      <c r="L58" s="44">
        <v>452702.26597550494</v>
      </c>
      <c r="M58" s="46">
        <v>16495138.719446875</v>
      </c>
    </row>
    <row r="59" spans="1:13" s="48" customFormat="1" ht="18" customHeight="1" x14ac:dyDescent="0.3">
      <c r="A59" s="42">
        <v>2073</v>
      </c>
      <c r="B59" s="42">
        <v>47</v>
      </c>
      <c r="C59" s="46"/>
      <c r="D59" s="44">
        <v>0</v>
      </c>
      <c r="E59" s="45">
        <v>-981551.01665902184</v>
      </c>
      <c r="F59" s="44">
        <v>-981551.01665902184</v>
      </c>
      <c r="G59" s="44" t="b">
        <v>0</v>
      </c>
      <c r="H59" s="83">
        <v>275.11109748013496</v>
      </c>
      <c r="I59" s="45">
        <v>1980799.9018569717</v>
      </c>
      <c r="J59" s="44">
        <v>999248.88519794983</v>
      </c>
      <c r="K59" s="45">
        <v>17041685.338669319</v>
      </c>
      <c r="L59" s="44">
        <v>401060.91133678425</v>
      </c>
      <c r="M59" s="46">
        <v>17442746.250006102</v>
      </c>
    </row>
    <row r="60" spans="1:13" s="48" customFormat="1" ht="18" customHeight="1" x14ac:dyDescent="0.3">
      <c r="A60" s="42">
        <v>2074</v>
      </c>
      <c r="B60" s="42">
        <v>48</v>
      </c>
      <c r="C60" s="46" t="s">
        <v>71</v>
      </c>
      <c r="D60" s="44">
        <v>-2278786.4653484044</v>
      </c>
      <c r="E60" s="45">
        <v>-1010997.5471587926</v>
      </c>
      <c r="F60" s="44">
        <v>-3289784.012507197</v>
      </c>
      <c r="G60" s="44" t="b">
        <v>0</v>
      </c>
      <c r="H60" s="83">
        <v>275.11109748013496</v>
      </c>
      <c r="I60" s="45">
        <v>1980799.9018569717</v>
      </c>
      <c r="J60" s="44">
        <v>-1308984.1106502253</v>
      </c>
      <c r="K60" s="45">
        <v>15732701.228019094</v>
      </c>
      <c r="L60" s="44">
        <v>426042.13346673298</v>
      </c>
      <c r="M60" s="46">
        <v>16158743.361485828</v>
      </c>
    </row>
    <row r="61" spans="1:13" s="48" customFormat="1" ht="18" customHeight="1" x14ac:dyDescent="0.3">
      <c r="A61" s="42">
        <v>2075</v>
      </c>
      <c r="B61" s="42">
        <v>49</v>
      </c>
      <c r="C61" s="46" t="s">
        <v>72</v>
      </c>
      <c r="D61" s="44">
        <v>-1339016.9650813967</v>
      </c>
      <c r="E61" s="45">
        <v>-1041327.4735735563</v>
      </c>
      <c r="F61" s="44">
        <v>-2380344.4386549531</v>
      </c>
      <c r="G61" s="44" t="b">
        <v>0</v>
      </c>
      <c r="H61" s="83">
        <v>275.11109748013496</v>
      </c>
      <c r="I61" s="45">
        <v>1980799.9018569717</v>
      </c>
      <c r="J61" s="44">
        <v>-399544.53679798148</v>
      </c>
      <c r="K61" s="45">
        <v>15333156.691221112</v>
      </c>
      <c r="L61" s="44">
        <v>393317.53070047736</v>
      </c>
      <c r="M61" s="46">
        <v>15726474.221921589</v>
      </c>
    </row>
    <row r="62" spans="1:13" s="48" customFormat="1" ht="18" customHeight="1" x14ac:dyDescent="0.3">
      <c r="A62" s="42">
        <v>2076</v>
      </c>
      <c r="B62" s="42">
        <v>50</v>
      </c>
      <c r="C62" s="46"/>
      <c r="D62" s="44">
        <v>0</v>
      </c>
      <c r="E62" s="45">
        <v>-1072567.2977807629</v>
      </c>
      <c r="F62" s="44">
        <v>-1072567.2977807629</v>
      </c>
      <c r="G62" s="44" t="b">
        <v>0</v>
      </c>
      <c r="H62" s="83">
        <v>275.11109748013496</v>
      </c>
      <c r="I62" s="45">
        <v>1980799.9018569717</v>
      </c>
      <c r="J62" s="44">
        <v>908232.60407620878</v>
      </c>
      <c r="K62" s="45">
        <v>16241389.295297321</v>
      </c>
      <c r="L62" s="44">
        <v>383328.91728052782</v>
      </c>
      <c r="M62" s="46">
        <v>16624718.21257785</v>
      </c>
    </row>
    <row r="63" spans="1:13" s="48" customFormat="1" ht="18" customHeight="1" x14ac:dyDescent="0.3">
      <c r="A63" s="42">
        <v>2077</v>
      </c>
      <c r="B63" s="42">
        <v>51</v>
      </c>
      <c r="C63" s="46" t="s">
        <v>55</v>
      </c>
      <c r="D63" s="44">
        <v>-1160001.2601269791</v>
      </c>
      <c r="E63" s="45">
        <v>-1104744.3167141858</v>
      </c>
      <c r="F63" s="44">
        <v>-2264745.5768411648</v>
      </c>
      <c r="G63" s="44" t="b">
        <v>1</v>
      </c>
      <c r="H63" s="83">
        <v>318.92916286094049</v>
      </c>
      <c r="I63" s="45">
        <v>2296289.9725987716</v>
      </c>
      <c r="J63" s="44">
        <v>31544.395757606719</v>
      </c>
      <c r="K63" s="45">
        <v>16272933.691054927</v>
      </c>
      <c r="L63" s="44">
        <v>406034.73238243302</v>
      </c>
      <c r="M63" s="46">
        <v>16678968.423437361</v>
      </c>
    </row>
    <row r="64" spans="1:13" s="48" customFormat="1" ht="18" customHeight="1" x14ac:dyDescent="0.3">
      <c r="A64" s="42">
        <v>2078</v>
      </c>
      <c r="B64" s="42">
        <v>52</v>
      </c>
      <c r="C64" s="46" t="s">
        <v>54</v>
      </c>
      <c r="D64" s="44">
        <v>-2463148.6800754596</v>
      </c>
      <c r="E64" s="45">
        <v>-1137886.6462156114</v>
      </c>
      <c r="F64" s="44">
        <v>-3601035.3262910713</v>
      </c>
      <c r="G64" s="44" t="b">
        <v>0</v>
      </c>
      <c r="H64" s="83">
        <v>318.92916286094049</v>
      </c>
      <c r="I64" s="45">
        <v>2296289.9725987716</v>
      </c>
      <c r="J64" s="44">
        <v>-1304745.3536922997</v>
      </c>
      <c r="K64" s="45">
        <v>14968188.337362628</v>
      </c>
      <c r="L64" s="44">
        <v>406823.34227637318</v>
      </c>
      <c r="M64" s="46">
        <v>15375011.679639002</v>
      </c>
    </row>
    <row r="65" spans="1:13" s="48" customFormat="1" ht="18" customHeight="1" x14ac:dyDescent="0.3">
      <c r="A65" s="42">
        <v>2079</v>
      </c>
      <c r="B65" s="42">
        <v>53</v>
      </c>
      <c r="C65" s="46"/>
      <c r="D65" s="44">
        <v>0</v>
      </c>
      <c r="E65" s="45">
        <v>-1172023.2456020797</v>
      </c>
      <c r="F65" s="44">
        <v>-1172023.2456020797</v>
      </c>
      <c r="G65" s="44" t="b">
        <v>0</v>
      </c>
      <c r="H65" s="83">
        <v>318.92916286094049</v>
      </c>
      <c r="I65" s="45">
        <v>2296289.9725987716</v>
      </c>
      <c r="J65" s="44">
        <v>1124266.7269966919</v>
      </c>
      <c r="K65" s="45">
        <v>16092455.06435932</v>
      </c>
      <c r="L65" s="44">
        <v>374204.70843406575</v>
      </c>
      <c r="M65" s="46">
        <v>16466659.772793386</v>
      </c>
    </row>
    <row r="66" spans="1:13" s="48" customFormat="1" ht="18" customHeight="1" x14ac:dyDescent="0.3">
      <c r="A66" s="42">
        <v>2080</v>
      </c>
      <c r="B66" s="42">
        <v>54</v>
      </c>
      <c r="C66" s="46" t="s">
        <v>66</v>
      </c>
      <c r="D66" s="44">
        <v>-9734118.1433147937</v>
      </c>
      <c r="E66" s="45">
        <v>-1207183.9429701418</v>
      </c>
      <c r="F66" s="44">
        <v>-10941302.086284935</v>
      </c>
      <c r="G66" s="44" t="b">
        <v>0</v>
      </c>
      <c r="H66" s="83">
        <v>318.92916286094049</v>
      </c>
      <c r="I66" s="45">
        <v>2296289.9725987716</v>
      </c>
      <c r="J66" s="44">
        <v>-8645012.113686163</v>
      </c>
      <c r="K66" s="45">
        <v>7447442.9506731573</v>
      </c>
      <c r="L66" s="44">
        <v>402311.37660898303</v>
      </c>
      <c r="M66" s="46">
        <v>7849754.32728214</v>
      </c>
    </row>
    <row r="67" spans="1:13" s="48" customFormat="1" ht="18" customHeight="1" x14ac:dyDescent="0.3">
      <c r="A67" s="42">
        <v>2081</v>
      </c>
      <c r="B67" s="42">
        <v>55</v>
      </c>
      <c r="C67" s="46"/>
      <c r="D67" s="44">
        <v>0</v>
      </c>
      <c r="E67" s="45">
        <v>-1243399.4612592463</v>
      </c>
      <c r="F67" s="44">
        <v>-1243399.4612592463</v>
      </c>
      <c r="G67" s="44" t="b">
        <v>0</v>
      </c>
      <c r="H67" s="83">
        <v>318.92916286094049</v>
      </c>
      <c r="I67" s="45">
        <v>2296289.9725987716</v>
      </c>
      <c r="J67" s="44">
        <v>1052890.5113395252</v>
      </c>
      <c r="K67" s="45">
        <v>8500333.4620126821</v>
      </c>
      <c r="L67" s="44">
        <v>186186.07376682895</v>
      </c>
      <c r="M67" s="46">
        <v>8686519.5357795116</v>
      </c>
    </row>
    <row r="68" spans="1:13" s="48" customFormat="1" ht="18" customHeight="1" x14ac:dyDescent="0.3">
      <c r="A68" s="42">
        <v>2082</v>
      </c>
      <c r="B68" s="42">
        <v>56</v>
      </c>
      <c r="C68" s="46" t="s">
        <v>47</v>
      </c>
      <c r="D68" s="44">
        <v>-2359863.9351062346</v>
      </c>
      <c r="E68" s="45">
        <v>-1280701.4450970236</v>
      </c>
      <c r="F68" s="44">
        <v>-3640565.3802032582</v>
      </c>
      <c r="G68" s="44" t="b">
        <v>1</v>
      </c>
      <c r="H68" s="83">
        <v>369.72631004289076</v>
      </c>
      <c r="I68" s="45">
        <v>2662029.4323088131</v>
      </c>
      <c r="J68" s="44">
        <v>-978535.94789444515</v>
      </c>
      <c r="K68" s="45">
        <v>7521797.5141182374</v>
      </c>
      <c r="L68" s="44">
        <v>212508.33655031706</v>
      </c>
      <c r="M68" s="46">
        <v>7734305.8506685542</v>
      </c>
    </row>
    <row r="69" spans="1:13" s="48" customFormat="1" ht="18" customHeight="1" x14ac:dyDescent="0.3">
      <c r="A69" s="42">
        <v>2083</v>
      </c>
      <c r="B69" s="42">
        <v>57</v>
      </c>
      <c r="C69" s="46" t="s">
        <v>51</v>
      </c>
      <c r="D69" s="44">
        <v>-2430659.8531594211</v>
      </c>
      <c r="E69" s="45">
        <v>-1319122.4884499342</v>
      </c>
      <c r="F69" s="44">
        <v>-3749782.3416093551</v>
      </c>
      <c r="G69" s="44" t="b">
        <v>0</v>
      </c>
      <c r="H69" s="83">
        <v>369.72631004289076</v>
      </c>
      <c r="I69" s="45">
        <v>2662029.4323088131</v>
      </c>
      <c r="J69" s="44">
        <v>-1087752.909300542</v>
      </c>
      <c r="K69" s="45">
        <v>6434044.6048176959</v>
      </c>
      <c r="L69" s="44">
        <v>188044.93785295595</v>
      </c>
      <c r="M69" s="46">
        <v>6622089.5426706523</v>
      </c>
    </row>
    <row r="70" spans="1:13" s="48" customFormat="1" ht="18" customHeight="1" x14ac:dyDescent="0.3">
      <c r="A70" s="42">
        <v>2084</v>
      </c>
      <c r="B70" s="42">
        <v>58</v>
      </c>
      <c r="C70" s="46" t="s">
        <v>52</v>
      </c>
      <c r="D70" s="44">
        <v>-2503579.6487542037</v>
      </c>
      <c r="E70" s="45">
        <v>-1358696.1631034324</v>
      </c>
      <c r="F70" s="44">
        <v>-3862275.8118576361</v>
      </c>
      <c r="G70" s="44" t="b">
        <v>0</v>
      </c>
      <c r="H70" s="83">
        <v>369.72631004289076</v>
      </c>
      <c r="I70" s="45">
        <v>2662029.4323088131</v>
      </c>
      <c r="J70" s="44">
        <v>-1200246.379548823</v>
      </c>
      <c r="K70" s="45">
        <v>5233798.2252688725</v>
      </c>
      <c r="L70" s="44">
        <v>160851.11512044241</v>
      </c>
      <c r="M70" s="46">
        <v>5394649.340389315</v>
      </c>
    </row>
    <row r="71" spans="1:13" s="48" customFormat="1" ht="18" customHeight="1" x14ac:dyDescent="0.3">
      <c r="A71" s="42">
        <v>2085</v>
      </c>
      <c r="B71" s="42">
        <v>59</v>
      </c>
      <c r="C71" s="46"/>
      <c r="D71" s="44">
        <v>0</v>
      </c>
      <c r="E71" s="45">
        <v>-1399457.0479965352</v>
      </c>
      <c r="F71" s="44">
        <v>-1399457.0479965352</v>
      </c>
      <c r="G71" s="44" t="b">
        <v>0</v>
      </c>
      <c r="H71" s="83">
        <v>369.72631004289076</v>
      </c>
      <c r="I71" s="45">
        <v>2662029.4323088131</v>
      </c>
      <c r="J71" s="44">
        <v>1262572.3843122779</v>
      </c>
      <c r="K71" s="45">
        <v>6496370.6095811501</v>
      </c>
      <c r="L71" s="44">
        <v>130844.95563172182</v>
      </c>
      <c r="M71" s="46">
        <v>6627215.5652128719</v>
      </c>
    </row>
    <row r="72" spans="1:13" s="48" customFormat="1" ht="18" customHeight="1" x14ac:dyDescent="0.3">
      <c r="A72" s="42">
        <v>2086</v>
      </c>
      <c r="B72" s="42">
        <v>60</v>
      </c>
      <c r="C72" s="46" t="s">
        <v>61</v>
      </c>
      <c r="D72" s="44">
        <v>-7881878.1526405979</v>
      </c>
      <c r="E72" s="45">
        <v>-1441440.7594364313</v>
      </c>
      <c r="F72" s="44">
        <v>-9323318.9120770283</v>
      </c>
      <c r="G72" s="44" t="b">
        <v>0</v>
      </c>
      <c r="H72" s="83">
        <v>369.72631004289076</v>
      </c>
      <c r="I72" s="45">
        <v>2662029.4323088131</v>
      </c>
      <c r="J72" s="44">
        <v>-6661289.4797682147</v>
      </c>
      <c r="K72" s="45">
        <v>-164918.87018706463</v>
      </c>
      <c r="L72" s="44">
        <v>162409.26523952876</v>
      </c>
      <c r="M72" s="46">
        <v>-2509.6049475358741</v>
      </c>
    </row>
    <row r="73" spans="1:13" ht="18" customHeight="1" x14ac:dyDescent="0.3">
      <c r="A73"/>
      <c r="B73"/>
      <c r="D73"/>
      <c r="E73"/>
      <c r="F73"/>
      <c r="G73"/>
      <c r="H73" s="81"/>
      <c r="I73"/>
      <c r="J73"/>
      <c r="K73"/>
      <c r="L73"/>
    </row>
    <row r="74" spans="1:13" ht="18" customHeight="1" x14ac:dyDescent="0.3">
      <c r="A74"/>
      <c r="B74"/>
      <c r="D74"/>
      <c r="E74"/>
      <c r="F74"/>
      <c r="G74"/>
      <c r="H74" s="81"/>
      <c r="I74"/>
      <c r="J74"/>
      <c r="K74"/>
      <c r="L74"/>
    </row>
    <row r="75" spans="1:13" ht="18" customHeight="1" x14ac:dyDescent="0.3">
      <c r="A75"/>
      <c r="B75"/>
      <c r="D75"/>
      <c r="E75"/>
      <c r="F75"/>
      <c r="G75"/>
      <c r="H75" s="81"/>
      <c r="I75"/>
      <c r="J75"/>
      <c r="K75"/>
      <c r="L75"/>
    </row>
    <row r="76" spans="1:13" ht="18" customHeight="1" x14ac:dyDescent="0.3">
      <c r="A76"/>
      <c r="B76"/>
      <c r="D76"/>
      <c r="E76"/>
      <c r="F76"/>
      <c r="G76"/>
      <c r="H76" s="81"/>
      <c r="I76"/>
      <c r="J76"/>
      <c r="K76"/>
      <c r="L76"/>
    </row>
    <row r="77" spans="1:13" ht="18" customHeight="1" x14ac:dyDescent="0.3">
      <c r="A77"/>
      <c r="B77"/>
      <c r="D77"/>
      <c r="E77"/>
      <c r="F77"/>
      <c r="G77"/>
      <c r="H77" s="81"/>
      <c r="I77"/>
      <c r="J77"/>
      <c r="K77"/>
      <c r="L77"/>
    </row>
    <row r="78" spans="1:13" ht="18" customHeight="1" x14ac:dyDescent="0.3">
      <c r="A78"/>
      <c r="B78"/>
      <c r="D78"/>
      <c r="E78"/>
      <c r="F78"/>
      <c r="G78"/>
      <c r="H78" s="81"/>
      <c r="I78"/>
      <c r="J78"/>
      <c r="K78"/>
      <c r="L78"/>
    </row>
    <row r="79" spans="1:13" ht="18" customHeight="1" x14ac:dyDescent="0.3">
      <c r="A79"/>
      <c r="B79"/>
      <c r="D79"/>
      <c r="E79"/>
      <c r="F79"/>
      <c r="G79"/>
      <c r="H79" s="81"/>
      <c r="I79"/>
      <c r="J79"/>
      <c r="K79"/>
      <c r="L79"/>
    </row>
    <row r="80" spans="1:13" ht="18" customHeight="1" x14ac:dyDescent="0.3">
      <c r="A80"/>
      <c r="B80"/>
      <c r="D80"/>
      <c r="E80"/>
      <c r="F80"/>
      <c r="G80"/>
      <c r="H80" s="81"/>
      <c r="I80"/>
      <c r="J80"/>
      <c r="K80"/>
      <c r="L80"/>
    </row>
    <row r="81" spans="1:12" ht="18" customHeight="1" x14ac:dyDescent="0.3">
      <c r="A81"/>
      <c r="B81"/>
      <c r="D81"/>
      <c r="E81"/>
      <c r="F81"/>
      <c r="G81"/>
      <c r="H81" s="81"/>
      <c r="I81"/>
      <c r="J81"/>
      <c r="K81"/>
      <c r="L81"/>
    </row>
    <row r="82" spans="1:12" ht="18" customHeight="1" x14ac:dyDescent="0.3">
      <c r="A82"/>
      <c r="B82"/>
      <c r="D82"/>
      <c r="E82"/>
      <c r="F82"/>
      <c r="G82"/>
      <c r="H82" s="81"/>
      <c r="I82"/>
      <c r="J82"/>
      <c r="K82"/>
      <c r="L82"/>
    </row>
    <row r="83" spans="1:12" ht="18" customHeight="1" x14ac:dyDescent="0.3">
      <c r="A83"/>
      <c r="B83"/>
      <c r="D83"/>
      <c r="E83"/>
      <c r="F83"/>
      <c r="G83"/>
      <c r="H83" s="81"/>
      <c r="I83"/>
      <c r="J83"/>
      <c r="K83"/>
      <c r="L83"/>
    </row>
    <row r="84" spans="1:12" ht="18" customHeight="1" x14ac:dyDescent="0.3">
      <c r="A84"/>
      <c r="B84"/>
      <c r="D84"/>
      <c r="E84"/>
      <c r="F84"/>
      <c r="G84"/>
      <c r="H84" s="81"/>
      <c r="I84"/>
      <c r="J84"/>
      <c r="K84"/>
      <c r="L84"/>
    </row>
    <row r="85" spans="1:12" ht="18" customHeight="1" x14ac:dyDescent="0.3">
      <c r="A85"/>
      <c r="B85"/>
      <c r="D85"/>
      <c r="E85"/>
      <c r="F85"/>
      <c r="G85"/>
      <c r="H85" s="81"/>
      <c r="I85"/>
      <c r="J85"/>
      <c r="K85"/>
      <c r="L85"/>
    </row>
    <row r="86" spans="1:12" ht="18" customHeight="1" x14ac:dyDescent="0.3">
      <c r="A86"/>
      <c r="B86"/>
      <c r="D86"/>
      <c r="E86"/>
      <c r="F86"/>
      <c r="G86"/>
      <c r="H86" s="81"/>
      <c r="I86"/>
      <c r="J86"/>
      <c r="K86"/>
      <c r="L86"/>
    </row>
    <row r="87" spans="1:12" ht="18" customHeight="1" x14ac:dyDescent="0.3">
      <c r="A87"/>
      <c r="B87"/>
      <c r="D87"/>
      <c r="E87"/>
      <c r="F87"/>
      <c r="G87"/>
      <c r="H87" s="81"/>
      <c r="I87"/>
      <c r="J87"/>
      <c r="K87"/>
      <c r="L87"/>
    </row>
  </sheetData>
  <mergeCells count="1">
    <mergeCell ref="A12:B12"/>
  </mergeCells>
  <pageMargins left="1" right="1" top="0" bottom="1" header="0" footer="0.5"/>
  <pageSetup paperSize="3" orientation="landscape" r:id="rId1"/>
  <headerFooter>
    <oddFooter>&amp;L&amp;Z&amp;F&amp;RPage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C67A7E6-BAAE-45FA-BC9B-70B0F04038C2}">
          <x14:formula1>
            <xm:f>Links!$B:$B</xm:f>
          </x14:formula1>
          <xm:sqref>C13:C72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C86C-4D62-4D3F-88D0-19B301170D31}">
  <dimension ref="A1:M87"/>
  <sheetViews>
    <sheetView view="pageLayout" topLeftCell="A65" zoomScaleNormal="100" workbookViewId="0">
      <selection activeCell="D82" sqref="D82"/>
    </sheetView>
  </sheetViews>
  <sheetFormatPr defaultColWidth="8.88671875" defaultRowHeight="18" customHeight="1" x14ac:dyDescent="0.3"/>
  <cols>
    <col min="1" max="2" width="6.33203125" style="30" customWidth="1"/>
    <col min="3" max="3" width="38.33203125" customWidth="1"/>
    <col min="4" max="5" width="12.77734375" style="7" customWidth="1"/>
    <col min="6" max="6" width="16" style="7" customWidth="1"/>
    <col min="7" max="7" width="12.77734375" style="7" hidden="1" customWidth="1"/>
    <col min="8" max="8" width="12.77734375" style="3" customWidth="1"/>
    <col min="9" max="9" width="12.77734375" style="7" customWidth="1"/>
    <col min="10" max="11" width="16" style="7" customWidth="1"/>
    <col min="12" max="12" width="12.77734375" style="7" customWidth="1"/>
    <col min="13" max="13" width="19.109375" style="3" customWidth="1"/>
  </cols>
  <sheetData>
    <row r="1" spans="1:13" ht="86.4" customHeight="1" x14ac:dyDescent="0.3"/>
    <row r="2" spans="1:13" s="1" customFormat="1" ht="21.6" customHeight="1" x14ac:dyDescent="0.45">
      <c r="A2" s="31" t="s">
        <v>100</v>
      </c>
      <c r="B2" s="31"/>
      <c r="D2" s="33"/>
      <c r="E2" s="33"/>
      <c r="F2" s="33"/>
      <c r="G2" s="33"/>
      <c r="H2" s="78"/>
      <c r="I2" s="33"/>
      <c r="J2" s="33"/>
      <c r="K2" s="33"/>
      <c r="L2" s="33"/>
      <c r="M2" s="78"/>
    </row>
    <row r="3" spans="1:13" s="2" customFormat="1" ht="18" customHeight="1" x14ac:dyDescent="0.3">
      <c r="A3" s="32" t="s">
        <v>34</v>
      </c>
      <c r="B3" s="32"/>
      <c r="D3" s="6"/>
      <c r="E3" s="6"/>
      <c r="F3" s="6"/>
      <c r="G3" s="6"/>
      <c r="H3" s="79"/>
      <c r="I3" s="6"/>
      <c r="J3" s="6"/>
      <c r="K3" s="6"/>
      <c r="L3" s="6"/>
      <c r="M3" s="79"/>
    </row>
    <row r="4" spans="1:13" s="2" customFormat="1" ht="18" customHeight="1" x14ac:dyDescent="0.3">
      <c r="A4" s="32" t="str">
        <f ca="1">"Date: "&amp;TEXT(TODAY(),"DD MMMM YYYY")</f>
        <v>Date: 16 July 2026</v>
      </c>
      <c r="B4" s="32"/>
      <c r="C4" s="6"/>
      <c r="D4" s="6"/>
      <c r="E4" s="6"/>
      <c r="F4" s="6"/>
      <c r="G4" s="6"/>
      <c r="H4" s="79"/>
      <c r="I4" s="6"/>
      <c r="J4" s="6"/>
      <c r="K4" s="6"/>
      <c r="L4" s="6"/>
      <c r="M4" s="79"/>
    </row>
    <row r="5" spans="1:13" s="2" customFormat="1" ht="18" customHeight="1" x14ac:dyDescent="0.3">
      <c r="A5" s="32" t="s">
        <v>92</v>
      </c>
      <c r="B5" s="32"/>
      <c r="E5" s="6"/>
      <c r="F5" s="6"/>
      <c r="G5" s="6"/>
      <c r="H5" s="79"/>
      <c r="I5" s="6"/>
      <c r="J5" s="6"/>
      <c r="K5" s="6"/>
      <c r="L5" s="6"/>
      <c r="M5" s="79"/>
    </row>
    <row r="6" spans="1:13" s="2" customFormat="1" ht="18" customHeight="1" x14ac:dyDescent="0.3">
      <c r="A6" s="32"/>
      <c r="B6" s="32"/>
      <c r="D6" s="6"/>
      <c r="E6" s="6"/>
      <c r="F6" s="6"/>
      <c r="G6" s="6"/>
      <c r="H6" s="79"/>
      <c r="I6" s="6"/>
      <c r="J6" s="6"/>
      <c r="K6" s="6"/>
      <c r="L6" s="6"/>
      <c r="M6" s="79"/>
    </row>
    <row r="7" spans="1:13" s="2" customFormat="1" ht="18" customHeight="1" x14ac:dyDescent="0.3">
      <c r="A7" t="s">
        <v>35</v>
      </c>
      <c r="B7"/>
      <c r="D7" s="7">
        <v>375</v>
      </c>
      <c r="E7" s="6"/>
      <c r="F7" s="7" t="s">
        <v>89</v>
      </c>
      <c r="G7" s="7"/>
      <c r="H7" s="81"/>
      <c r="I7" s="85">
        <v>0.03</v>
      </c>
      <c r="K7" s="6"/>
      <c r="L7" s="6"/>
      <c r="M7" s="79"/>
    </row>
    <row r="8" spans="1:13" ht="18" customHeight="1" x14ac:dyDescent="0.3">
      <c r="A8" t="s">
        <v>94</v>
      </c>
      <c r="B8"/>
      <c r="D8" s="5">
        <v>600</v>
      </c>
      <c r="F8" s="7" t="s">
        <v>90</v>
      </c>
      <c r="I8" s="85">
        <v>2.5000000000000001E-2</v>
      </c>
    </row>
    <row r="9" spans="1:13" ht="18" customHeight="1" x14ac:dyDescent="0.3">
      <c r="A9" t="s">
        <v>36</v>
      </c>
      <c r="B9"/>
      <c r="D9" s="7">
        <f>D8*D7</f>
        <v>225000</v>
      </c>
      <c r="F9" s="86" t="s">
        <v>93</v>
      </c>
      <c r="G9" s="86"/>
      <c r="I9" s="5">
        <v>5</v>
      </c>
    </row>
    <row r="10" spans="1:13" ht="18" customHeight="1" x14ac:dyDescent="0.3">
      <c r="A10" t="s">
        <v>37</v>
      </c>
      <c r="B10"/>
      <c r="D10" s="3">
        <v>50</v>
      </c>
    </row>
    <row r="11" spans="1:13" ht="18" customHeight="1" x14ac:dyDescent="0.3">
      <c r="A11"/>
      <c r="B11"/>
      <c r="D11" s="3"/>
    </row>
    <row r="12" spans="1:13" ht="29.4" thickBot="1" x14ac:dyDescent="0.35">
      <c r="A12" s="87" t="s">
        <v>20</v>
      </c>
      <c r="B12" s="87"/>
      <c r="C12" s="11" t="s">
        <v>28</v>
      </c>
      <c r="D12" s="34" t="s">
        <v>29</v>
      </c>
      <c r="E12" s="34" t="s">
        <v>30</v>
      </c>
      <c r="F12" s="34" t="s">
        <v>31</v>
      </c>
      <c r="G12" s="34"/>
      <c r="H12" s="82" t="s">
        <v>19</v>
      </c>
      <c r="I12" s="34" t="s">
        <v>32</v>
      </c>
      <c r="J12" s="34" t="s">
        <v>91</v>
      </c>
      <c r="K12" s="34" t="s">
        <v>88</v>
      </c>
      <c r="L12" s="34" t="s">
        <v>95</v>
      </c>
      <c r="M12" s="34" t="s">
        <v>33</v>
      </c>
    </row>
    <row r="13" spans="1:13" s="41" customFormat="1" ht="18" customHeight="1" thickTop="1" x14ac:dyDescent="0.3">
      <c r="A13" s="35" cm="1">
        <f t="array" ref="A13:A72">_xlfn.SEQUENCE(60,,2027)</f>
        <v>2027</v>
      </c>
      <c r="B13" s="35" cm="1">
        <f t="array" ref="B13:B72">_xlfn.SEQUENCE(60)</f>
        <v>1</v>
      </c>
      <c r="C13" s="36"/>
      <c r="D13" s="37" cm="1">
        <f t="array" ref="D13:D72">-FV(I7,_xlfn.ANCHORARRAY(B13)-1,0,-_xlfn.XLOOKUP(C13:C72,_xlfn.ANCHORARRAY(Links!B2),_xlfn.ANCHORARRAY(Links!C2),0))</f>
        <v>0</v>
      </c>
      <c r="E13" s="38" cm="1">
        <f t="array" ref="E13:E72">-FV(I7,_xlfn.ANCHORARRAY(B13)-1,0,-D9)</f>
        <v>-225000</v>
      </c>
      <c r="F13" s="37" cm="1">
        <f t="array" ref="F13:F72">_xlfn.ANCHORARRAY(D13)+_xlfn.ANCHORARRAY(E13)</f>
        <v>-225000</v>
      </c>
      <c r="G13" s="40" t="b" cm="1">
        <f t="array" ref="G13:G72">IF(MOD(_xlfn.ANCHORARRAY(B13)-1,$I$9)=0,TRUE,FALSE)</f>
        <v>1</v>
      </c>
      <c r="H13" s="84" cm="1">
        <f t="array" ref="H13:H72">_xlfn.SCAN($D$10, _xlfn.SEQUENCE(ROWS(_xlfn.ANCHORARRAY(G13))), _xlfn.LAMBDA(_xlpm.prev,_xlpm.rowNum, IF(INDEX(_xlfn.ANCHORARRAY(G13), _xlpm.rowNum), FV($I$7, (_xlpm.rowNum-1), 0, -$D$10), _xlpm.prev)))</f>
        <v>50</v>
      </c>
      <c r="I13" s="39" cm="1">
        <f t="array" ref="I13:I72">_xlfn.ANCHORARRAY(H13)*12*D8</f>
        <v>360000</v>
      </c>
      <c r="J13" s="40" cm="1">
        <f t="array" ref="J13:J72">_xlfn.ANCHORARRAY(F13)+_xlfn.ANCHORARRAY(I13)</f>
        <v>135000</v>
      </c>
      <c r="K13" s="39" cm="1">
        <f t="array" ref="K13:K72">_xlfn.SCAN(0,_xlfn.ANCHORARRAY( J13), _xlfn.LAMBDA(_xlpm.a,_xlpm.b, _xlpm.a + _xlpm.b))</f>
        <v>135000</v>
      </c>
      <c r="L13" s="40">
        <v>0</v>
      </c>
      <c r="M13" s="80" cm="1">
        <f t="array" ref="M13:M72">_xlfn.VSTACK(L13,_xlfn.ANCHORARRAY(L14))+_xlfn.ANCHORARRAY(K13)</f>
        <v>135000</v>
      </c>
    </row>
    <row r="14" spans="1:13" s="43" customFormat="1" ht="18" customHeight="1" x14ac:dyDescent="0.3">
      <c r="A14" s="42">
        <v>2028</v>
      </c>
      <c r="B14" s="42">
        <v>2</v>
      </c>
      <c r="D14" s="44">
        <v>0</v>
      </c>
      <c r="E14" s="45">
        <v>-231750</v>
      </c>
      <c r="F14" s="44">
        <v>-231750</v>
      </c>
      <c r="G14" s="44" t="b">
        <v>0</v>
      </c>
      <c r="H14" s="83">
        <v>50</v>
      </c>
      <c r="I14" s="45">
        <v>360000</v>
      </c>
      <c r="J14" s="44">
        <v>128250</v>
      </c>
      <c r="K14" s="45">
        <v>263250</v>
      </c>
      <c r="L14" s="44" cm="1">
        <f t="array" ref="L14:L72">_xlfn.TAKE(_xlfn.ANCHORARRAY(K13),ROWS(_xlfn.ANCHORARRAY(K13))-1)*I8</f>
        <v>3375</v>
      </c>
      <c r="M14" s="46">
        <v>266625</v>
      </c>
    </row>
    <row r="15" spans="1:13" s="45" customFormat="1" ht="18" customHeight="1" x14ac:dyDescent="0.3">
      <c r="A15" s="42">
        <v>2029</v>
      </c>
      <c r="B15" s="42">
        <v>3</v>
      </c>
      <c r="D15" s="44">
        <v>0</v>
      </c>
      <c r="E15" s="45">
        <v>-238702.5</v>
      </c>
      <c r="F15" s="44">
        <v>-238702.5</v>
      </c>
      <c r="G15" s="44" t="b">
        <v>0</v>
      </c>
      <c r="H15" s="83">
        <v>50</v>
      </c>
      <c r="I15" s="45">
        <v>360000</v>
      </c>
      <c r="J15" s="44">
        <v>121297.5</v>
      </c>
      <c r="K15" s="45">
        <v>384547.5</v>
      </c>
      <c r="L15" s="44">
        <v>6581.25</v>
      </c>
      <c r="M15" s="46">
        <v>391128.75</v>
      </c>
    </row>
    <row r="16" spans="1:13" s="45" customFormat="1" ht="18" customHeight="1" x14ac:dyDescent="0.3">
      <c r="A16" s="42">
        <v>2030</v>
      </c>
      <c r="B16" s="42">
        <v>4</v>
      </c>
      <c r="D16" s="44">
        <v>0</v>
      </c>
      <c r="E16" s="45">
        <v>-245863.57500000001</v>
      </c>
      <c r="F16" s="44">
        <v>-245863.57500000001</v>
      </c>
      <c r="G16" s="44" t="b">
        <v>0</v>
      </c>
      <c r="H16" s="83">
        <v>50</v>
      </c>
      <c r="I16" s="45">
        <v>360000</v>
      </c>
      <c r="J16" s="44">
        <v>114136.42499999999</v>
      </c>
      <c r="K16" s="45">
        <v>498683.92499999999</v>
      </c>
      <c r="L16" s="44">
        <v>9613.6875</v>
      </c>
      <c r="M16" s="46">
        <v>508297.61249999999</v>
      </c>
    </row>
    <row r="17" spans="1:13" s="46" customFormat="1" ht="18" customHeight="1" x14ac:dyDescent="0.3">
      <c r="A17" s="42">
        <v>2031</v>
      </c>
      <c r="B17" s="42">
        <v>5</v>
      </c>
      <c r="D17" s="44">
        <v>0</v>
      </c>
      <c r="E17" s="45">
        <v>-253239.48224999997</v>
      </c>
      <c r="F17" s="44">
        <v>-253239.48224999997</v>
      </c>
      <c r="G17" s="44" t="b">
        <v>0</v>
      </c>
      <c r="H17" s="83">
        <v>50</v>
      </c>
      <c r="I17" s="45">
        <v>360000</v>
      </c>
      <c r="J17" s="44">
        <v>106760.51775000003</v>
      </c>
      <c r="K17" s="45">
        <v>605444.44275000005</v>
      </c>
      <c r="L17" s="44">
        <v>12467.098125</v>
      </c>
      <c r="M17" s="46">
        <v>617911.54087500006</v>
      </c>
    </row>
    <row r="18" spans="1:13" s="46" customFormat="1" ht="18" customHeight="1" x14ac:dyDescent="0.3">
      <c r="A18" s="42">
        <v>2032</v>
      </c>
      <c r="B18" s="42">
        <v>6</v>
      </c>
      <c r="D18" s="44">
        <v>0</v>
      </c>
      <c r="E18" s="45">
        <v>-260836.66671749996</v>
      </c>
      <c r="F18" s="44">
        <v>-260836.66671749996</v>
      </c>
      <c r="G18" s="44" t="b">
        <v>1</v>
      </c>
      <c r="H18" s="83">
        <v>57.963703714999994</v>
      </c>
      <c r="I18" s="45">
        <v>417338.6667479999</v>
      </c>
      <c r="J18" s="44">
        <v>156502.00003049994</v>
      </c>
      <c r="K18" s="45">
        <v>761946.44278050005</v>
      </c>
      <c r="L18" s="44">
        <v>15136.111068750002</v>
      </c>
      <c r="M18" s="46">
        <v>777082.55384925008</v>
      </c>
    </row>
    <row r="19" spans="1:13" s="46" customFormat="1" ht="18" customHeight="1" x14ac:dyDescent="0.3">
      <c r="A19" s="42">
        <v>2033</v>
      </c>
      <c r="B19" s="42">
        <v>7</v>
      </c>
      <c r="D19" s="44">
        <v>0</v>
      </c>
      <c r="E19" s="45">
        <v>-268661.76671902498</v>
      </c>
      <c r="F19" s="44">
        <v>-268661.76671902498</v>
      </c>
      <c r="G19" s="44" t="b">
        <v>0</v>
      </c>
      <c r="H19" s="83">
        <v>57.963703714999994</v>
      </c>
      <c r="I19" s="45">
        <v>417338.6667479999</v>
      </c>
      <c r="J19" s="44">
        <v>148676.90002897492</v>
      </c>
      <c r="K19" s="45">
        <v>910623.34280947503</v>
      </c>
      <c r="L19" s="44">
        <v>19048.661069512502</v>
      </c>
      <c r="M19" s="46">
        <v>929672.00387898751</v>
      </c>
    </row>
    <row r="20" spans="1:13" s="46" customFormat="1" ht="18" customHeight="1" x14ac:dyDescent="0.3">
      <c r="A20" s="42">
        <v>2034</v>
      </c>
      <c r="B20" s="42">
        <v>8</v>
      </c>
      <c r="D20" s="44">
        <v>0</v>
      </c>
      <c r="E20" s="45">
        <v>-276721.61972059577</v>
      </c>
      <c r="F20" s="44">
        <v>-276721.61972059577</v>
      </c>
      <c r="G20" s="44" t="b">
        <v>0</v>
      </c>
      <c r="H20" s="83">
        <v>57.963703714999994</v>
      </c>
      <c r="I20" s="45">
        <v>417338.6667479999</v>
      </c>
      <c r="J20" s="44">
        <v>140617.04702740413</v>
      </c>
      <c r="K20" s="45">
        <v>1051240.3898368792</v>
      </c>
      <c r="L20" s="44">
        <v>22765.583570236879</v>
      </c>
      <c r="M20" s="46">
        <v>1074005.973407116</v>
      </c>
    </row>
    <row r="21" spans="1:13" s="47" customFormat="1" ht="18" customHeight="1" x14ac:dyDescent="0.3">
      <c r="A21" s="42">
        <v>2035</v>
      </c>
      <c r="B21" s="42">
        <v>9</v>
      </c>
      <c r="C21" s="46"/>
      <c r="D21" s="44">
        <v>0</v>
      </c>
      <c r="E21" s="45">
        <v>-285023.26831221359</v>
      </c>
      <c r="F21" s="44">
        <v>-285023.26831221359</v>
      </c>
      <c r="G21" s="44" t="b">
        <v>0</v>
      </c>
      <c r="H21" s="83">
        <v>57.963703714999994</v>
      </c>
      <c r="I21" s="45">
        <v>417338.6667479999</v>
      </c>
      <c r="J21" s="44">
        <v>132315.39843578631</v>
      </c>
      <c r="K21" s="45">
        <v>1183555.7882726656</v>
      </c>
      <c r="L21" s="44">
        <v>26281.009745921983</v>
      </c>
      <c r="M21" s="46">
        <v>1209836.7980185875</v>
      </c>
    </row>
    <row r="22" spans="1:13" s="47" customFormat="1" ht="18" customHeight="1" x14ac:dyDescent="0.3">
      <c r="A22" s="42">
        <v>2036</v>
      </c>
      <c r="B22" s="42">
        <v>10</v>
      </c>
      <c r="C22" s="46"/>
      <c r="D22" s="44">
        <v>0</v>
      </c>
      <c r="E22" s="45">
        <v>-293573.96636158001</v>
      </c>
      <c r="F22" s="44">
        <v>-293573.96636158001</v>
      </c>
      <c r="G22" s="44" t="b">
        <v>0</v>
      </c>
      <c r="H22" s="83">
        <v>57.963703714999994</v>
      </c>
      <c r="I22" s="45">
        <v>417338.6667479999</v>
      </c>
      <c r="J22" s="44">
        <v>123764.70038641989</v>
      </c>
      <c r="K22" s="45">
        <v>1307320.4886590855</v>
      </c>
      <c r="L22" s="44">
        <v>29588.894706816642</v>
      </c>
      <c r="M22" s="46">
        <v>1336909.3833659021</v>
      </c>
    </row>
    <row r="23" spans="1:13" s="48" customFormat="1" ht="18" customHeight="1" x14ac:dyDescent="0.3">
      <c r="A23" s="42">
        <v>2037</v>
      </c>
      <c r="B23" s="42">
        <v>11</v>
      </c>
      <c r="C23" s="46"/>
      <c r="D23" s="44">
        <v>0</v>
      </c>
      <c r="E23" s="45">
        <v>-302381.18535242742</v>
      </c>
      <c r="F23" s="44">
        <v>-302381.18535242742</v>
      </c>
      <c r="G23" s="44" t="b">
        <v>1</v>
      </c>
      <c r="H23" s="83">
        <v>67.195818967206094</v>
      </c>
      <c r="I23" s="45">
        <v>483809.89656388387</v>
      </c>
      <c r="J23" s="44">
        <v>181428.71121145645</v>
      </c>
      <c r="K23" s="45">
        <v>1488749.1998705419</v>
      </c>
      <c r="L23" s="44">
        <v>32683.012216477138</v>
      </c>
      <c r="M23" s="46">
        <v>1521432.2120870191</v>
      </c>
    </row>
    <row r="24" spans="1:13" s="48" customFormat="1" ht="18" customHeight="1" x14ac:dyDescent="0.3">
      <c r="A24" s="42">
        <v>2038</v>
      </c>
      <c r="B24" s="42">
        <v>12</v>
      </c>
      <c r="C24" s="46"/>
      <c r="D24" s="44">
        <v>0</v>
      </c>
      <c r="E24" s="45">
        <v>-311452.62091300025</v>
      </c>
      <c r="F24" s="44">
        <v>-311452.62091300025</v>
      </c>
      <c r="G24" s="44" t="b">
        <v>0</v>
      </c>
      <c r="H24" s="83">
        <v>67.195818967206094</v>
      </c>
      <c r="I24" s="45">
        <v>483809.89656388387</v>
      </c>
      <c r="J24" s="44">
        <v>172357.27565088362</v>
      </c>
      <c r="K24" s="45">
        <v>1661106.4755214255</v>
      </c>
      <c r="L24" s="44">
        <v>37218.729996763548</v>
      </c>
      <c r="M24" s="46">
        <v>1698325.2055181891</v>
      </c>
    </row>
    <row r="25" spans="1:13" s="48" customFormat="1" ht="18" customHeight="1" x14ac:dyDescent="0.3">
      <c r="A25" s="42">
        <v>2039</v>
      </c>
      <c r="B25" s="42">
        <v>13</v>
      </c>
      <c r="C25" s="46"/>
      <c r="D25" s="44">
        <v>0</v>
      </c>
      <c r="E25" s="45">
        <v>-320796.19954039017</v>
      </c>
      <c r="F25" s="44">
        <v>-320796.19954039017</v>
      </c>
      <c r="G25" s="44" t="b">
        <v>0</v>
      </c>
      <c r="H25" s="83">
        <v>67.195818967206094</v>
      </c>
      <c r="I25" s="45">
        <v>483809.89656388387</v>
      </c>
      <c r="J25" s="44">
        <v>163013.6970234937</v>
      </c>
      <c r="K25" s="45">
        <v>1824120.1725449192</v>
      </c>
      <c r="L25" s="44">
        <v>41527.66188803564</v>
      </c>
      <c r="M25" s="46">
        <v>1865647.8344329549</v>
      </c>
    </row>
    <row r="26" spans="1:13" s="48" customFormat="1" ht="18" customHeight="1" x14ac:dyDescent="0.3">
      <c r="A26" s="42">
        <v>2040</v>
      </c>
      <c r="B26" s="42">
        <v>14</v>
      </c>
      <c r="C26" s="46"/>
      <c r="D26" s="44">
        <v>0</v>
      </c>
      <c r="E26" s="45">
        <v>-330420.08552660188</v>
      </c>
      <c r="F26" s="44">
        <v>-330420.08552660188</v>
      </c>
      <c r="G26" s="44" t="b">
        <v>0</v>
      </c>
      <c r="H26" s="83">
        <v>67.195818967206094</v>
      </c>
      <c r="I26" s="45">
        <v>483809.89656388387</v>
      </c>
      <c r="J26" s="44">
        <v>153389.81103728199</v>
      </c>
      <c r="K26" s="45">
        <v>1977509.9835822012</v>
      </c>
      <c r="L26" s="44">
        <v>45603.00431362298</v>
      </c>
      <c r="M26" s="46">
        <v>2023112.9878958242</v>
      </c>
    </row>
    <row r="27" spans="1:13" s="48" customFormat="1" ht="18" customHeight="1" x14ac:dyDescent="0.3">
      <c r="A27" s="42">
        <v>2041</v>
      </c>
      <c r="B27" s="42">
        <v>15</v>
      </c>
      <c r="C27" s="46"/>
      <c r="D27" s="44">
        <v>0</v>
      </c>
      <c r="E27" s="45">
        <v>-340332.68809239997</v>
      </c>
      <c r="F27" s="44">
        <v>-340332.68809239997</v>
      </c>
      <c r="G27" s="44" t="b">
        <v>0</v>
      </c>
      <c r="H27" s="83">
        <v>67.195818967206094</v>
      </c>
      <c r="I27" s="45">
        <v>483809.89656388387</v>
      </c>
      <c r="J27" s="44">
        <v>143477.2084714839</v>
      </c>
      <c r="K27" s="45">
        <v>2120987.192053685</v>
      </c>
      <c r="L27" s="44">
        <v>49437.749589555031</v>
      </c>
      <c r="M27" s="46">
        <v>2170424.9416432399</v>
      </c>
    </row>
    <row r="28" spans="1:13" s="48" customFormat="1" ht="18" customHeight="1" x14ac:dyDescent="0.3">
      <c r="A28" s="42">
        <v>2042</v>
      </c>
      <c r="B28" s="42">
        <v>16</v>
      </c>
      <c r="C28" s="46"/>
      <c r="D28" s="44">
        <v>0</v>
      </c>
      <c r="E28" s="45">
        <v>-350542.66873517202</v>
      </c>
      <c r="F28" s="44">
        <v>-350542.66873517202</v>
      </c>
      <c r="G28" s="44" t="b">
        <v>1</v>
      </c>
      <c r="H28" s="83">
        <v>77.898370830038218</v>
      </c>
      <c r="I28" s="45">
        <v>560868.26997627516</v>
      </c>
      <c r="J28" s="44">
        <v>210325.60124110314</v>
      </c>
      <c r="K28" s="45">
        <v>2331312.7932947883</v>
      </c>
      <c r="L28" s="44">
        <v>53024.679801342128</v>
      </c>
      <c r="M28" s="46">
        <v>2384337.4730961304</v>
      </c>
    </row>
    <row r="29" spans="1:13" s="48" customFormat="1" ht="18" customHeight="1" x14ac:dyDescent="0.3">
      <c r="A29" s="42">
        <v>2043</v>
      </c>
      <c r="B29" s="42">
        <v>17</v>
      </c>
      <c r="C29" s="46"/>
      <c r="D29" s="44">
        <v>0</v>
      </c>
      <c r="E29" s="45">
        <v>-361058.94879722712</v>
      </c>
      <c r="F29" s="44">
        <v>-361058.94879722712</v>
      </c>
      <c r="G29" s="44" t="b">
        <v>0</v>
      </c>
      <c r="H29" s="83">
        <v>77.898370830038218</v>
      </c>
      <c r="I29" s="45">
        <v>560868.26997627516</v>
      </c>
      <c r="J29" s="44">
        <v>199809.32117904804</v>
      </c>
      <c r="K29" s="45">
        <v>2531122.1144738365</v>
      </c>
      <c r="L29" s="44">
        <v>58282.819832369714</v>
      </c>
      <c r="M29" s="46">
        <v>2589404.9343062062</v>
      </c>
    </row>
    <row r="30" spans="1:13" s="48" customFormat="1" ht="18" customHeight="1" x14ac:dyDescent="0.3">
      <c r="A30" s="42">
        <v>2044</v>
      </c>
      <c r="B30" s="42">
        <v>18</v>
      </c>
      <c r="C30" s="46"/>
      <c r="D30" s="44">
        <v>0</v>
      </c>
      <c r="E30" s="45">
        <v>-371890.7172611439</v>
      </c>
      <c r="F30" s="44">
        <v>-371890.7172611439</v>
      </c>
      <c r="G30" s="44" t="b">
        <v>0</v>
      </c>
      <c r="H30" s="83">
        <v>77.898370830038218</v>
      </c>
      <c r="I30" s="45">
        <v>560868.26997627516</v>
      </c>
      <c r="J30" s="44">
        <v>188977.55271513126</v>
      </c>
      <c r="K30" s="45">
        <v>2720099.6671889676</v>
      </c>
      <c r="L30" s="44">
        <v>63278.052861845914</v>
      </c>
      <c r="M30" s="46">
        <v>2783377.7200508136</v>
      </c>
    </row>
    <row r="31" spans="1:13" s="48" customFormat="1" ht="18" customHeight="1" x14ac:dyDescent="0.3">
      <c r="A31" s="42">
        <v>2045</v>
      </c>
      <c r="B31" s="42">
        <v>19</v>
      </c>
      <c r="C31" s="46"/>
      <c r="D31" s="44">
        <v>0</v>
      </c>
      <c r="E31" s="45">
        <v>-383047.43877897825</v>
      </c>
      <c r="F31" s="44">
        <v>-383047.43877897825</v>
      </c>
      <c r="G31" s="44" t="b">
        <v>0</v>
      </c>
      <c r="H31" s="83">
        <v>77.898370830038218</v>
      </c>
      <c r="I31" s="45">
        <v>560868.26997627516</v>
      </c>
      <c r="J31" s="44">
        <v>177820.83119729691</v>
      </c>
      <c r="K31" s="45">
        <v>2897920.4983862643</v>
      </c>
      <c r="L31" s="44">
        <v>68002.491679724189</v>
      </c>
      <c r="M31" s="46">
        <v>2965922.9900659886</v>
      </c>
    </row>
    <row r="32" spans="1:13" s="48" customFormat="1" ht="18" customHeight="1" x14ac:dyDescent="0.3">
      <c r="A32" s="42">
        <v>2046</v>
      </c>
      <c r="B32" s="42">
        <v>20</v>
      </c>
      <c r="C32" s="46"/>
      <c r="D32" s="44">
        <v>0</v>
      </c>
      <c r="E32" s="45">
        <v>-394538.86194234755</v>
      </c>
      <c r="F32" s="44">
        <v>-394538.86194234755</v>
      </c>
      <c r="G32" s="44" t="b">
        <v>0</v>
      </c>
      <c r="H32" s="83">
        <v>77.898370830038218</v>
      </c>
      <c r="I32" s="45">
        <v>560868.26997627516</v>
      </c>
      <c r="J32" s="44">
        <v>166329.40803392761</v>
      </c>
      <c r="K32" s="45">
        <v>3064249.9064201917</v>
      </c>
      <c r="L32" s="44">
        <v>72448.012459656617</v>
      </c>
      <c r="M32" s="46">
        <v>3136697.9188798484</v>
      </c>
    </row>
    <row r="33" spans="1:13" s="48" customFormat="1" ht="18" customHeight="1" x14ac:dyDescent="0.3">
      <c r="A33" s="42">
        <v>2047</v>
      </c>
      <c r="B33" s="42">
        <v>21</v>
      </c>
      <c r="C33" s="46"/>
      <c r="D33" s="44">
        <v>0</v>
      </c>
      <c r="E33" s="45">
        <v>-406375.02780061797</v>
      </c>
      <c r="F33" s="44">
        <v>-406375.02780061797</v>
      </c>
      <c r="G33" s="44" t="b">
        <v>1</v>
      </c>
      <c r="H33" s="83">
        <v>90.305561733470668</v>
      </c>
      <c r="I33" s="45">
        <v>650200.04448098887</v>
      </c>
      <c r="J33" s="44">
        <v>243825.0166803709</v>
      </c>
      <c r="K33" s="45">
        <v>3308074.9231005628</v>
      </c>
      <c r="L33" s="44">
        <v>76606.2476605048</v>
      </c>
      <c r="M33" s="46">
        <v>3384681.1707610674</v>
      </c>
    </row>
    <row r="34" spans="1:13" s="48" customFormat="1" ht="18" customHeight="1" x14ac:dyDescent="0.3">
      <c r="A34" s="42">
        <v>2048</v>
      </c>
      <c r="B34" s="42">
        <v>22</v>
      </c>
      <c r="C34" s="46"/>
      <c r="D34" s="44">
        <v>0</v>
      </c>
      <c r="E34" s="45">
        <v>-418566.27863463649</v>
      </c>
      <c r="F34" s="44">
        <v>-418566.27863463649</v>
      </c>
      <c r="G34" s="44" t="b">
        <v>0</v>
      </c>
      <c r="H34" s="83">
        <v>90.305561733470668</v>
      </c>
      <c r="I34" s="45">
        <v>650200.04448098887</v>
      </c>
      <c r="J34" s="44">
        <v>231633.76584635238</v>
      </c>
      <c r="K34" s="45">
        <v>3539708.6889469153</v>
      </c>
      <c r="L34" s="44">
        <v>82701.873077514072</v>
      </c>
      <c r="M34" s="46">
        <v>3622410.5620244294</v>
      </c>
    </row>
    <row r="35" spans="1:13" s="48" customFormat="1" ht="18" customHeight="1" x14ac:dyDescent="0.3">
      <c r="A35" s="42">
        <v>2049</v>
      </c>
      <c r="B35" s="42">
        <v>23</v>
      </c>
      <c r="C35" s="46"/>
      <c r="D35" s="44">
        <v>0</v>
      </c>
      <c r="E35" s="45">
        <v>-431123.26699367561</v>
      </c>
      <c r="F35" s="44">
        <v>-431123.26699367561</v>
      </c>
      <c r="G35" s="44" t="b">
        <v>0</v>
      </c>
      <c r="H35" s="83">
        <v>90.305561733470668</v>
      </c>
      <c r="I35" s="45">
        <v>650200.04448098887</v>
      </c>
      <c r="J35" s="44">
        <v>219076.77748731326</v>
      </c>
      <c r="K35" s="45">
        <v>3758785.4664342287</v>
      </c>
      <c r="L35" s="44">
        <v>88492.717223672895</v>
      </c>
      <c r="M35" s="46">
        <v>3847278.1836579014</v>
      </c>
    </row>
    <row r="36" spans="1:13" s="48" customFormat="1" ht="18" customHeight="1" x14ac:dyDescent="0.3">
      <c r="A36" s="42">
        <v>2050</v>
      </c>
      <c r="B36" s="42">
        <v>24</v>
      </c>
      <c r="C36" s="46"/>
      <c r="D36" s="44">
        <v>0</v>
      </c>
      <c r="E36" s="45">
        <v>-444056.96500348591</v>
      </c>
      <c r="F36" s="44">
        <v>-444056.96500348591</v>
      </c>
      <c r="G36" s="44" t="b">
        <v>0</v>
      </c>
      <c r="H36" s="83">
        <v>90.305561733470668</v>
      </c>
      <c r="I36" s="45">
        <v>650200.04448098887</v>
      </c>
      <c r="J36" s="44">
        <v>206143.07947750296</v>
      </c>
      <c r="K36" s="45">
        <v>3964928.5459117317</v>
      </c>
      <c r="L36" s="44">
        <v>93969.636660855729</v>
      </c>
      <c r="M36" s="46">
        <v>4058898.1825725874</v>
      </c>
    </row>
    <row r="37" spans="1:13" s="48" customFormat="1" ht="18" customHeight="1" x14ac:dyDescent="0.3">
      <c r="A37" s="42">
        <v>2051</v>
      </c>
      <c r="B37" s="42">
        <v>25</v>
      </c>
      <c r="C37" s="46"/>
      <c r="D37" s="44">
        <v>0</v>
      </c>
      <c r="E37" s="45">
        <v>-457378.67395359039</v>
      </c>
      <c r="F37" s="44">
        <v>-457378.67395359039</v>
      </c>
      <c r="G37" s="44" t="b">
        <v>0</v>
      </c>
      <c r="H37" s="83">
        <v>90.305561733470668</v>
      </c>
      <c r="I37" s="45">
        <v>650200.04448098887</v>
      </c>
      <c r="J37" s="44">
        <v>192821.37052739848</v>
      </c>
      <c r="K37" s="45">
        <v>4157749.91643913</v>
      </c>
      <c r="L37" s="44">
        <v>99123.213647793295</v>
      </c>
      <c r="M37" s="46">
        <v>4256873.130086923</v>
      </c>
    </row>
    <row r="38" spans="1:13" s="48" customFormat="1" ht="18" customHeight="1" x14ac:dyDescent="0.3">
      <c r="A38" s="42">
        <v>2052</v>
      </c>
      <c r="B38" s="42">
        <v>26</v>
      </c>
      <c r="C38" s="46"/>
      <c r="D38" s="44">
        <v>0</v>
      </c>
      <c r="E38" s="45">
        <v>-471100.03417219809</v>
      </c>
      <c r="F38" s="44">
        <v>-471100.03417219809</v>
      </c>
      <c r="G38" s="44" t="b">
        <v>1</v>
      </c>
      <c r="H38" s="83">
        <v>104.68889648271069</v>
      </c>
      <c r="I38" s="45">
        <v>753760.05467551702</v>
      </c>
      <c r="J38" s="44">
        <v>282660.02050331893</v>
      </c>
      <c r="K38" s="45">
        <v>4440409.9369424488</v>
      </c>
      <c r="L38" s="44">
        <v>103943.74791097826</v>
      </c>
      <c r="M38" s="46">
        <v>4544353.6848534271</v>
      </c>
    </row>
    <row r="39" spans="1:13" s="48" customFormat="1" ht="18" customHeight="1" x14ac:dyDescent="0.3">
      <c r="A39" s="42">
        <v>2053</v>
      </c>
      <c r="B39" s="42">
        <v>27</v>
      </c>
      <c r="C39" s="46"/>
      <c r="D39" s="44">
        <v>0</v>
      </c>
      <c r="E39" s="45">
        <v>-485233.03519736411</v>
      </c>
      <c r="F39" s="44">
        <v>-485233.03519736411</v>
      </c>
      <c r="G39" s="44" t="b">
        <v>0</v>
      </c>
      <c r="H39" s="83">
        <v>104.68889648271069</v>
      </c>
      <c r="I39" s="45">
        <v>753760.05467551702</v>
      </c>
      <c r="J39" s="44">
        <v>268527.01947815291</v>
      </c>
      <c r="K39" s="45">
        <v>4708936.9564206013</v>
      </c>
      <c r="L39" s="44">
        <v>111010.24842356122</v>
      </c>
      <c r="M39" s="46">
        <v>4819947.2048441628</v>
      </c>
    </row>
    <row r="40" spans="1:13" s="48" customFormat="1" ht="18" customHeight="1" x14ac:dyDescent="0.3">
      <c r="A40" s="42">
        <v>2054</v>
      </c>
      <c r="B40" s="42">
        <v>28</v>
      </c>
      <c r="C40" s="46"/>
      <c r="D40" s="44">
        <v>0</v>
      </c>
      <c r="E40" s="45">
        <v>-499790.026253285</v>
      </c>
      <c r="F40" s="44">
        <v>-499790.026253285</v>
      </c>
      <c r="G40" s="44" t="b">
        <v>0</v>
      </c>
      <c r="H40" s="83">
        <v>104.68889648271069</v>
      </c>
      <c r="I40" s="45">
        <v>753760.05467551702</v>
      </c>
      <c r="J40" s="44">
        <v>253970.02842223202</v>
      </c>
      <c r="K40" s="45">
        <v>4962906.9848428331</v>
      </c>
      <c r="L40" s="44">
        <v>117723.42391051503</v>
      </c>
      <c r="M40" s="46">
        <v>5080630.4087533485</v>
      </c>
    </row>
    <row r="41" spans="1:13" s="48" customFormat="1" ht="18" customHeight="1" x14ac:dyDescent="0.3">
      <c r="A41" s="42">
        <v>2055</v>
      </c>
      <c r="B41" s="42">
        <v>29</v>
      </c>
      <c r="C41" s="46"/>
      <c r="D41" s="44">
        <v>0</v>
      </c>
      <c r="E41" s="45">
        <v>-514783.72704088356</v>
      </c>
      <c r="F41" s="44">
        <v>-514783.72704088356</v>
      </c>
      <c r="G41" s="44" t="b">
        <v>0</v>
      </c>
      <c r="H41" s="83">
        <v>104.68889648271069</v>
      </c>
      <c r="I41" s="45">
        <v>753760.05467551702</v>
      </c>
      <c r="J41" s="44">
        <v>238976.32763463346</v>
      </c>
      <c r="K41" s="45">
        <v>5201883.3124774667</v>
      </c>
      <c r="L41" s="44">
        <v>124072.67462107084</v>
      </c>
      <c r="M41" s="46">
        <v>5325955.9870985374</v>
      </c>
    </row>
    <row r="42" spans="1:13" s="48" customFormat="1" ht="18" customHeight="1" x14ac:dyDescent="0.3">
      <c r="A42" s="42">
        <v>2056</v>
      </c>
      <c r="B42" s="42">
        <v>30</v>
      </c>
      <c r="C42" s="46"/>
      <c r="D42" s="44">
        <v>0</v>
      </c>
      <c r="E42" s="45">
        <v>-530227.23885210999</v>
      </c>
      <c r="F42" s="44">
        <v>-530227.23885210999</v>
      </c>
      <c r="G42" s="44" t="b">
        <v>0</v>
      </c>
      <c r="H42" s="83">
        <v>104.68889648271069</v>
      </c>
      <c r="I42" s="45">
        <v>753760.05467551702</v>
      </c>
      <c r="J42" s="44">
        <v>223532.81582340703</v>
      </c>
      <c r="K42" s="45">
        <v>5425416.1283008736</v>
      </c>
      <c r="L42" s="44">
        <v>130047.08281193668</v>
      </c>
      <c r="M42" s="46">
        <v>5555463.2111128103</v>
      </c>
    </row>
    <row r="43" spans="1:13" s="48" customFormat="1" ht="18" customHeight="1" x14ac:dyDescent="0.3">
      <c r="A43" s="42">
        <v>2057</v>
      </c>
      <c r="B43" s="42">
        <v>31</v>
      </c>
      <c r="C43" s="46"/>
      <c r="D43" s="44">
        <v>0</v>
      </c>
      <c r="E43" s="45">
        <v>-546134.05601767334</v>
      </c>
      <c r="F43" s="44">
        <v>-546134.05601767334</v>
      </c>
      <c r="G43" s="44" t="b">
        <v>1</v>
      </c>
      <c r="H43" s="83">
        <v>121.36312355948296</v>
      </c>
      <c r="I43" s="45">
        <v>873814.48962827725</v>
      </c>
      <c r="J43" s="44">
        <v>327680.43361060391</v>
      </c>
      <c r="K43" s="45">
        <v>5753096.5619114777</v>
      </c>
      <c r="L43" s="44">
        <v>135635.40320752186</v>
      </c>
      <c r="M43" s="46">
        <v>5888731.9651189996</v>
      </c>
    </row>
    <row r="44" spans="1:13" s="48" customFormat="1" ht="18" customHeight="1" x14ac:dyDescent="0.3">
      <c r="A44" s="42">
        <v>2058</v>
      </c>
      <c r="B44" s="42">
        <v>32</v>
      </c>
      <c r="C44" s="46"/>
      <c r="D44" s="44">
        <v>0</v>
      </c>
      <c r="E44" s="45">
        <v>-562518.07769820362</v>
      </c>
      <c r="F44" s="44">
        <v>-562518.07769820362</v>
      </c>
      <c r="G44" s="44" t="b">
        <v>0</v>
      </c>
      <c r="H44" s="83">
        <v>121.36312355948296</v>
      </c>
      <c r="I44" s="45">
        <v>873814.48962827725</v>
      </c>
      <c r="J44" s="44">
        <v>311296.41193007363</v>
      </c>
      <c r="K44" s="45">
        <v>6064392.9738415517</v>
      </c>
      <c r="L44" s="44">
        <v>143827.41404778694</v>
      </c>
      <c r="M44" s="46">
        <v>6208220.3878893387</v>
      </c>
    </row>
    <row r="45" spans="1:13" s="48" customFormat="1" ht="18" customHeight="1" x14ac:dyDescent="0.3">
      <c r="A45" s="42">
        <v>2059</v>
      </c>
      <c r="B45" s="42">
        <v>33</v>
      </c>
      <c r="C45" s="46"/>
      <c r="D45" s="44">
        <v>0</v>
      </c>
      <c r="E45" s="45">
        <v>-579393.62002914958</v>
      </c>
      <c r="F45" s="44">
        <v>-579393.62002914958</v>
      </c>
      <c r="G45" s="44" t="b">
        <v>0</v>
      </c>
      <c r="H45" s="83">
        <v>121.36312355948296</v>
      </c>
      <c r="I45" s="45">
        <v>873814.48962827725</v>
      </c>
      <c r="J45" s="44">
        <v>294420.86959912768</v>
      </c>
      <c r="K45" s="45">
        <v>6358813.8434406798</v>
      </c>
      <c r="L45" s="44">
        <v>151609.8243460388</v>
      </c>
      <c r="M45" s="46">
        <v>6510423.6677867183</v>
      </c>
    </row>
    <row r="46" spans="1:13" s="48" customFormat="1" ht="18" customHeight="1" x14ac:dyDescent="0.3">
      <c r="A46" s="42">
        <v>2060</v>
      </c>
      <c r="B46" s="42">
        <v>34</v>
      </c>
      <c r="C46" s="46"/>
      <c r="D46" s="44">
        <v>0</v>
      </c>
      <c r="E46" s="45">
        <v>-596775.42863002408</v>
      </c>
      <c r="F46" s="44">
        <v>-596775.42863002408</v>
      </c>
      <c r="G46" s="44" t="b">
        <v>0</v>
      </c>
      <c r="H46" s="83">
        <v>121.36312355948296</v>
      </c>
      <c r="I46" s="45">
        <v>873814.48962827725</v>
      </c>
      <c r="J46" s="44">
        <v>277039.06099825318</v>
      </c>
      <c r="K46" s="45">
        <v>6635852.9044389334</v>
      </c>
      <c r="L46" s="44">
        <v>158970.346086017</v>
      </c>
      <c r="M46" s="46">
        <v>6794823.2505249502</v>
      </c>
    </row>
    <row r="47" spans="1:13" s="48" customFormat="1" ht="18" customHeight="1" x14ac:dyDescent="0.3">
      <c r="A47" s="42">
        <v>2061</v>
      </c>
      <c r="B47" s="42">
        <v>35</v>
      </c>
      <c r="C47" s="46"/>
      <c r="D47" s="44">
        <v>0</v>
      </c>
      <c r="E47" s="45">
        <v>-614678.69148892467</v>
      </c>
      <c r="F47" s="44">
        <v>-614678.69148892467</v>
      </c>
      <c r="G47" s="44" t="b">
        <v>0</v>
      </c>
      <c r="H47" s="83">
        <v>121.36312355948296</v>
      </c>
      <c r="I47" s="45">
        <v>873814.48962827725</v>
      </c>
      <c r="J47" s="44">
        <v>259135.79813935258</v>
      </c>
      <c r="K47" s="45">
        <v>6894988.7025782857</v>
      </c>
      <c r="L47" s="44">
        <v>165896.32261097335</v>
      </c>
      <c r="M47" s="46">
        <v>7060885.0251892591</v>
      </c>
    </row>
    <row r="48" spans="1:13" s="48" customFormat="1" ht="18" customHeight="1" x14ac:dyDescent="0.3">
      <c r="A48" s="42">
        <v>2062</v>
      </c>
      <c r="B48" s="42">
        <v>36</v>
      </c>
      <c r="C48" s="46"/>
      <c r="D48" s="44">
        <v>0</v>
      </c>
      <c r="E48" s="45">
        <v>-633119.05223359261</v>
      </c>
      <c r="F48" s="44">
        <v>-633119.05223359261</v>
      </c>
      <c r="G48" s="44" t="b">
        <v>1</v>
      </c>
      <c r="H48" s="83">
        <v>140.69312271857612</v>
      </c>
      <c r="I48" s="45">
        <v>1012990.4835737481</v>
      </c>
      <c r="J48" s="44">
        <v>379871.43134015554</v>
      </c>
      <c r="K48" s="45">
        <v>7274860.1339184409</v>
      </c>
      <c r="L48" s="44">
        <v>172374.71756445715</v>
      </c>
      <c r="M48" s="46">
        <v>7447234.851482898</v>
      </c>
    </row>
    <row r="49" spans="1:13" s="48" customFormat="1" ht="18" customHeight="1" x14ac:dyDescent="0.3">
      <c r="A49" s="42">
        <v>2063</v>
      </c>
      <c r="B49" s="42">
        <v>37</v>
      </c>
      <c r="C49" s="46"/>
      <c r="D49" s="44">
        <v>0</v>
      </c>
      <c r="E49" s="45">
        <v>-652112.6238006003</v>
      </c>
      <c r="F49" s="44">
        <v>-652112.6238006003</v>
      </c>
      <c r="G49" s="44" t="b">
        <v>0</v>
      </c>
      <c r="H49" s="83">
        <v>140.69312271857612</v>
      </c>
      <c r="I49" s="45">
        <v>1012990.4835737481</v>
      </c>
      <c r="J49" s="44">
        <v>360877.85977314785</v>
      </c>
      <c r="K49" s="45">
        <v>7635737.9936915888</v>
      </c>
      <c r="L49" s="44">
        <v>181871.50334796103</v>
      </c>
      <c r="M49" s="46">
        <v>7817609.49703955</v>
      </c>
    </row>
    <row r="50" spans="1:13" s="48" customFormat="1" ht="18" customHeight="1" x14ac:dyDescent="0.3">
      <c r="A50" s="42">
        <v>2064</v>
      </c>
      <c r="B50" s="42">
        <v>38</v>
      </c>
      <c r="C50" s="46"/>
      <c r="D50" s="44">
        <v>0</v>
      </c>
      <c r="E50" s="45">
        <v>-671676.00251461822</v>
      </c>
      <c r="F50" s="44">
        <v>-671676.00251461822</v>
      </c>
      <c r="G50" s="44" t="b">
        <v>0</v>
      </c>
      <c r="H50" s="83">
        <v>140.69312271857612</v>
      </c>
      <c r="I50" s="45">
        <v>1012990.4835737481</v>
      </c>
      <c r="J50" s="44">
        <v>341314.48105912993</v>
      </c>
      <c r="K50" s="45">
        <v>7977052.474750719</v>
      </c>
      <c r="L50" s="44">
        <v>190893.44984228973</v>
      </c>
      <c r="M50" s="46">
        <v>8167945.9245930091</v>
      </c>
    </row>
    <row r="51" spans="1:13" s="48" customFormat="1" ht="18" customHeight="1" x14ac:dyDescent="0.3">
      <c r="A51" s="42">
        <v>2065</v>
      </c>
      <c r="B51" s="42">
        <v>39</v>
      </c>
      <c r="C51" s="46"/>
      <c r="D51" s="44">
        <v>0</v>
      </c>
      <c r="E51" s="45">
        <v>-691826.28259005677</v>
      </c>
      <c r="F51" s="44">
        <v>-691826.28259005677</v>
      </c>
      <c r="G51" s="44" t="b">
        <v>0</v>
      </c>
      <c r="H51" s="83">
        <v>140.69312271857612</v>
      </c>
      <c r="I51" s="45">
        <v>1012990.4835737481</v>
      </c>
      <c r="J51" s="44">
        <v>321164.20098369138</v>
      </c>
      <c r="K51" s="45">
        <v>8298216.6757344101</v>
      </c>
      <c r="L51" s="44">
        <v>199426.31186876798</v>
      </c>
      <c r="M51" s="46">
        <v>8497642.9876031782</v>
      </c>
    </row>
    <row r="52" spans="1:13" s="48" customFormat="1" ht="18" customHeight="1" x14ac:dyDescent="0.3">
      <c r="A52" s="42">
        <v>2066</v>
      </c>
      <c r="B52" s="42">
        <v>40</v>
      </c>
      <c r="C52" s="46"/>
      <c r="D52" s="44">
        <v>0</v>
      </c>
      <c r="E52" s="45">
        <v>-712581.0710677586</v>
      </c>
      <c r="F52" s="44">
        <v>-712581.0710677586</v>
      </c>
      <c r="G52" s="44" t="b">
        <v>0</v>
      </c>
      <c r="H52" s="83">
        <v>140.69312271857612</v>
      </c>
      <c r="I52" s="45">
        <v>1012990.4835737481</v>
      </c>
      <c r="J52" s="44">
        <v>300409.41250598955</v>
      </c>
      <c r="K52" s="45">
        <v>8598626.0882404</v>
      </c>
      <c r="L52" s="44">
        <v>207455.41689336026</v>
      </c>
      <c r="M52" s="46">
        <v>8806081.5051337611</v>
      </c>
    </row>
    <row r="53" spans="1:13" s="48" customFormat="1" ht="18" customHeight="1" x14ac:dyDescent="0.3">
      <c r="A53" s="42">
        <v>2067</v>
      </c>
      <c r="B53" s="42">
        <v>41</v>
      </c>
      <c r="C53" s="46"/>
      <c r="D53" s="44">
        <v>0</v>
      </c>
      <c r="E53" s="45">
        <v>-733958.50319979119</v>
      </c>
      <c r="F53" s="44">
        <v>-733958.50319979119</v>
      </c>
      <c r="G53" s="44" t="b">
        <v>1</v>
      </c>
      <c r="H53" s="83">
        <v>163.10188959995361</v>
      </c>
      <c r="I53" s="45">
        <v>1174333.6051196661</v>
      </c>
      <c r="J53" s="44">
        <v>440375.1019198749</v>
      </c>
      <c r="K53" s="45">
        <v>9039001.1901602745</v>
      </c>
      <c r="L53" s="44">
        <v>214965.65220601001</v>
      </c>
      <c r="M53" s="46">
        <v>9253966.8423662838</v>
      </c>
    </row>
    <row r="54" spans="1:13" s="48" customFormat="1" ht="18" customHeight="1" x14ac:dyDescent="0.3">
      <c r="A54" s="42">
        <v>2068</v>
      </c>
      <c r="B54" s="42">
        <v>42</v>
      </c>
      <c r="C54" s="46"/>
      <c r="D54" s="44">
        <v>0</v>
      </c>
      <c r="E54" s="45">
        <v>-755977.25829578494</v>
      </c>
      <c r="F54" s="44">
        <v>-755977.25829578494</v>
      </c>
      <c r="G54" s="44" t="b">
        <v>0</v>
      </c>
      <c r="H54" s="83">
        <v>163.10188959995361</v>
      </c>
      <c r="I54" s="45">
        <v>1174333.6051196661</v>
      </c>
      <c r="J54" s="44">
        <v>418356.34682388115</v>
      </c>
      <c r="K54" s="45">
        <v>9457357.536984155</v>
      </c>
      <c r="L54" s="44">
        <v>225975.02975400689</v>
      </c>
      <c r="M54" s="46">
        <v>9683332.5667381622</v>
      </c>
    </row>
    <row r="55" spans="1:13" s="48" customFormat="1" ht="18" customHeight="1" x14ac:dyDescent="0.3">
      <c r="A55" s="42">
        <v>2069</v>
      </c>
      <c r="B55" s="42">
        <v>43</v>
      </c>
      <c r="C55" s="46"/>
      <c r="D55" s="44">
        <v>0</v>
      </c>
      <c r="E55" s="45">
        <v>-778656.57604465855</v>
      </c>
      <c r="F55" s="44">
        <v>-778656.57604465855</v>
      </c>
      <c r="G55" s="44" t="b">
        <v>0</v>
      </c>
      <c r="H55" s="83">
        <v>163.10188959995361</v>
      </c>
      <c r="I55" s="45">
        <v>1174333.6051196661</v>
      </c>
      <c r="J55" s="44">
        <v>395677.02907500754</v>
      </c>
      <c r="K55" s="45">
        <v>9853034.5660591628</v>
      </c>
      <c r="L55" s="44">
        <v>236433.9384246039</v>
      </c>
      <c r="M55" s="46">
        <v>10089468.504483767</v>
      </c>
    </row>
    <row r="56" spans="1:13" s="48" customFormat="1" ht="18" customHeight="1" x14ac:dyDescent="0.3">
      <c r="A56" s="42">
        <v>2070</v>
      </c>
      <c r="B56" s="42">
        <v>44</v>
      </c>
      <c r="C56" s="46"/>
      <c r="D56" s="44">
        <v>0</v>
      </c>
      <c r="E56" s="45">
        <v>-802016.27332599834</v>
      </c>
      <c r="F56" s="44">
        <v>-802016.27332599834</v>
      </c>
      <c r="G56" s="44" t="b">
        <v>0</v>
      </c>
      <c r="H56" s="83">
        <v>163.10188959995361</v>
      </c>
      <c r="I56" s="45">
        <v>1174333.6051196661</v>
      </c>
      <c r="J56" s="44">
        <v>372317.33179366775</v>
      </c>
      <c r="K56" s="45">
        <v>10225351.897852831</v>
      </c>
      <c r="L56" s="44">
        <v>246325.86415147909</v>
      </c>
      <c r="M56" s="46">
        <v>10471677.76200431</v>
      </c>
    </row>
    <row r="57" spans="1:13" s="48" customFormat="1" ht="18" customHeight="1" x14ac:dyDescent="0.3">
      <c r="A57" s="42">
        <v>2071</v>
      </c>
      <c r="B57" s="42">
        <v>45</v>
      </c>
      <c r="C57" s="46"/>
      <c r="D57" s="44">
        <v>0</v>
      </c>
      <c r="E57" s="45">
        <v>-826076.76152577822</v>
      </c>
      <c r="F57" s="44">
        <v>-826076.76152577822</v>
      </c>
      <c r="G57" s="44" t="b">
        <v>0</v>
      </c>
      <c r="H57" s="83">
        <v>163.10188959995361</v>
      </c>
      <c r="I57" s="45">
        <v>1174333.6051196661</v>
      </c>
      <c r="J57" s="44">
        <v>348256.84359388787</v>
      </c>
      <c r="K57" s="45">
        <v>10573608.741446719</v>
      </c>
      <c r="L57" s="44">
        <v>255633.79744632076</v>
      </c>
      <c r="M57" s="46">
        <v>10829242.53889304</v>
      </c>
    </row>
    <row r="58" spans="1:13" s="48" customFormat="1" ht="18" customHeight="1" x14ac:dyDescent="0.3">
      <c r="A58" s="42">
        <v>2072</v>
      </c>
      <c r="B58" s="42">
        <v>46</v>
      </c>
      <c r="C58" s="46"/>
      <c r="D58" s="44">
        <v>0</v>
      </c>
      <c r="E58" s="45">
        <v>-850859.0643715515</v>
      </c>
      <c r="F58" s="44">
        <v>-850859.0643715515</v>
      </c>
      <c r="G58" s="44" t="b">
        <v>1</v>
      </c>
      <c r="H58" s="83">
        <v>189.079792082567</v>
      </c>
      <c r="I58" s="45">
        <v>1361374.5029944824</v>
      </c>
      <c r="J58" s="44">
        <v>510515.4386229309</v>
      </c>
      <c r="K58" s="45">
        <v>11084124.18006965</v>
      </c>
      <c r="L58" s="44">
        <v>264340.21853616799</v>
      </c>
      <c r="M58" s="46">
        <v>11348464.398605818</v>
      </c>
    </row>
    <row r="59" spans="1:13" s="48" customFormat="1" ht="18" customHeight="1" x14ac:dyDescent="0.3">
      <c r="A59" s="42">
        <v>2073</v>
      </c>
      <c r="B59" s="42">
        <v>47</v>
      </c>
      <c r="C59" s="46"/>
      <c r="D59" s="44">
        <v>0</v>
      </c>
      <c r="E59" s="45">
        <v>-876384.83630269801</v>
      </c>
      <c r="F59" s="44">
        <v>-876384.83630269801</v>
      </c>
      <c r="G59" s="44" t="b">
        <v>0</v>
      </c>
      <c r="H59" s="83">
        <v>189.079792082567</v>
      </c>
      <c r="I59" s="45">
        <v>1361374.5029944824</v>
      </c>
      <c r="J59" s="44">
        <v>484989.6666917844</v>
      </c>
      <c r="K59" s="45">
        <v>11569113.846761433</v>
      </c>
      <c r="L59" s="44">
        <v>277103.10450174124</v>
      </c>
      <c r="M59" s="46">
        <v>11846216.951263174</v>
      </c>
    </row>
    <row r="60" spans="1:13" s="48" customFormat="1" ht="18" customHeight="1" x14ac:dyDescent="0.3">
      <c r="A60" s="42">
        <v>2074</v>
      </c>
      <c r="B60" s="42">
        <v>48</v>
      </c>
      <c r="C60" s="46" t="s">
        <v>71</v>
      </c>
      <c r="D60" s="44">
        <v>-2278786.4653484044</v>
      </c>
      <c r="E60" s="45">
        <v>-902676.38139177905</v>
      </c>
      <c r="F60" s="44">
        <v>-3181462.8467401834</v>
      </c>
      <c r="G60" s="44" t="b">
        <v>0</v>
      </c>
      <c r="H60" s="83">
        <v>189.079792082567</v>
      </c>
      <c r="I60" s="45">
        <v>1361374.5029944824</v>
      </c>
      <c r="J60" s="44">
        <v>-1820088.343745701</v>
      </c>
      <c r="K60" s="45">
        <v>9749025.5030157324</v>
      </c>
      <c r="L60" s="44">
        <v>289227.84616903582</v>
      </c>
      <c r="M60" s="46">
        <v>10038253.349184768</v>
      </c>
    </row>
    <row r="61" spans="1:13" s="48" customFormat="1" ht="18" customHeight="1" x14ac:dyDescent="0.3">
      <c r="A61" s="42">
        <v>2075</v>
      </c>
      <c r="B61" s="42">
        <v>49</v>
      </c>
      <c r="C61" s="46" t="s">
        <v>72</v>
      </c>
      <c r="D61" s="44">
        <v>-1339016.9650813967</v>
      </c>
      <c r="E61" s="45">
        <v>-929756.67283353233</v>
      </c>
      <c r="F61" s="44">
        <v>-2268773.6379149291</v>
      </c>
      <c r="G61" s="44" t="b">
        <v>0</v>
      </c>
      <c r="H61" s="83">
        <v>189.079792082567</v>
      </c>
      <c r="I61" s="45">
        <v>1361374.5029944824</v>
      </c>
      <c r="J61" s="44">
        <v>-907399.13492044667</v>
      </c>
      <c r="K61" s="45">
        <v>8841626.3680952862</v>
      </c>
      <c r="L61" s="44">
        <v>243725.63757539331</v>
      </c>
      <c r="M61" s="46">
        <v>9085352.0056706797</v>
      </c>
    </row>
    <row r="62" spans="1:13" s="48" customFormat="1" ht="18" customHeight="1" x14ac:dyDescent="0.3">
      <c r="A62" s="42">
        <v>2076</v>
      </c>
      <c r="B62" s="42">
        <v>50</v>
      </c>
      <c r="C62" s="46" t="s">
        <v>79</v>
      </c>
      <c r="D62" s="44">
        <v>-844593.54425940523</v>
      </c>
      <c r="E62" s="45">
        <v>-957649.37301853823</v>
      </c>
      <c r="F62" s="44">
        <v>-1802242.9172779433</v>
      </c>
      <c r="G62" s="44" t="b">
        <v>0</v>
      </c>
      <c r="H62" s="83">
        <v>189.079792082567</v>
      </c>
      <c r="I62" s="45">
        <v>1361374.5029944824</v>
      </c>
      <c r="J62" s="44">
        <v>-440868.41428346094</v>
      </c>
      <c r="K62" s="45">
        <v>8400757.9538118243</v>
      </c>
      <c r="L62" s="44">
        <v>221040.65920238217</v>
      </c>
      <c r="M62" s="46">
        <v>8621798.6130142063</v>
      </c>
    </row>
    <row r="63" spans="1:13" s="48" customFormat="1" ht="18" customHeight="1" x14ac:dyDescent="0.3">
      <c r="A63" s="42">
        <v>2077</v>
      </c>
      <c r="B63" s="42">
        <v>51</v>
      </c>
      <c r="C63" s="46" t="s">
        <v>55</v>
      </c>
      <c r="D63" s="44">
        <v>-1160001.2601269791</v>
      </c>
      <c r="E63" s="45">
        <v>-986378.85420909442</v>
      </c>
      <c r="F63" s="44">
        <v>-2146380.1143360734</v>
      </c>
      <c r="G63" s="44" t="b">
        <v>1</v>
      </c>
      <c r="H63" s="83">
        <v>219.19530093535431</v>
      </c>
      <c r="I63" s="45">
        <v>1578206.1667345511</v>
      </c>
      <c r="J63" s="44">
        <v>-568173.94760152232</v>
      </c>
      <c r="K63" s="45">
        <v>7832584.006210302</v>
      </c>
      <c r="L63" s="44">
        <v>210018.94884529561</v>
      </c>
      <c r="M63" s="46">
        <v>8042602.9550555972</v>
      </c>
    </row>
    <row r="64" spans="1:13" s="48" customFormat="1" ht="18" customHeight="1" x14ac:dyDescent="0.3">
      <c r="A64" s="42">
        <v>2078</v>
      </c>
      <c r="B64" s="42">
        <v>52</v>
      </c>
      <c r="C64" s="46" t="s">
        <v>54</v>
      </c>
      <c r="D64" s="44">
        <v>-2463148.6800754596</v>
      </c>
      <c r="E64" s="45">
        <v>-1015970.2198353673</v>
      </c>
      <c r="F64" s="44">
        <v>-3479118.8999108272</v>
      </c>
      <c r="G64" s="44" t="b">
        <v>0</v>
      </c>
      <c r="H64" s="83">
        <v>219.19530093535431</v>
      </c>
      <c r="I64" s="45">
        <v>1578206.1667345511</v>
      </c>
      <c r="J64" s="44">
        <v>-1900912.7331762761</v>
      </c>
      <c r="K64" s="45">
        <v>5931671.2730340259</v>
      </c>
      <c r="L64" s="44">
        <v>195814.60015525756</v>
      </c>
      <c r="M64" s="46">
        <v>6127485.8731892835</v>
      </c>
    </row>
    <row r="65" spans="1:13" s="48" customFormat="1" ht="18" customHeight="1" x14ac:dyDescent="0.3">
      <c r="A65" s="42">
        <v>2079</v>
      </c>
      <c r="B65" s="42">
        <v>53</v>
      </c>
      <c r="C65" s="46" t="s">
        <v>73</v>
      </c>
      <c r="D65" s="44">
        <v>-1083865.7034576852</v>
      </c>
      <c r="E65" s="45">
        <v>-1046449.3264304283</v>
      </c>
      <c r="F65" s="44">
        <v>-2130315.0298881135</v>
      </c>
      <c r="G65" s="44" t="b">
        <v>0</v>
      </c>
      <c r="H65" s="83">
        <v>219.19530093535431</v>
      </c>
      <c r="I65" s="45">
        <v>1578206.1667345511</v>
      </c>
      <c r="J65" s="44">
        <v>-552108.86315356242</v>
      </c>
      <c r="K65" s="45">
        <v>5379562.409880463</v>
      </c>
      <c r="L65" s="44">
        <v>148291.78182585066</v>
      </c>
      <c r="M65" s="46">
        <v>5527854.1917063138</v>
      </c>
    </row>
    <row r="66" spans="1:13" s="48" customFormat="1" ht="18" customHeight="1" x14ac:dyDescent="0.3">
      <c r="A66" s="42">
        <v>2080</v>
      </c>
      <c r="B66" s="42">
        <v>54</v>
      </c>
      <c r="C66" s="46"/>
      <c r="D66" s="44">
        <v>0</v>
      </c>
      <c r="E66" s="45">
        <v>-1077842.8062233408</v>
      </c>
      <c r="F66" s="44">
        <v>-1077842.8062233408</v>
      </c>
      <c r="G66" s="44" t="b">
        <v>0</v>
      </c>
      <c r="H66" s="83">
        <v>219.19530093535431</v>
      </c>
      <c r="I66" s="45">
        <v>1578206.1667345511</v>
      </c>
      <c r="J66" s="44">
        <v>500363.36051121028</v>
      </c>
      <c r="K66" s="45">
        <v>5879925.7703916728</v>
      </c>
      <c r="L66" s="44">
        <v>134489.06024701157</v>
      </c>
      <c r="M66" s="46">
        <v>6014414.8306386843</v>
      </c>
    </row>
    <row r="67" spans="1:13" s="48" customFormat="1" ht="18" customHeight="1" x14ac:dyDescent="0.3">
      <c r="A67" s="42">
        <v>2081</v>
      </c>
      <c r="B67" s="42">
        <v>55</v>
      </c>
      <c r="C67" s="46" t="s">
        <v>80</v>
      </c>
      <c r="D67" s="44">
        <v>-1043345.3693673568</v>
      </c>
      <c r="E67" s="45">
        <v>-1110178.0904100414</v>
      </c>
      <c r="F67" s="44">
        <v>-2153523.459777398</v>
      </c>
      <c r="G67" s="44" t="b">
        <v>0</v>
      </c>
      <c r="H67" s="83">
        <v>219.19530093535431</v>
      </c>
      <c r="I67" s="45">
        <v>1578206.1667345511</v>
      </c>
      <c r="J67" s="44">
        <v>-575317.29304284696</v>
      </c>
      <c r="K67" s="45">
        <v>5304608.4773488259</v>
      </c>
      <c r="L67" s="44">
        <v>146998.14425979182</v>
      </c>
      <c r="M67" s="46">
        <v>5451606.6216086177</v>
      </c>
    </row>
    <row r="68" spans="1:13" s="48" customFormat="1" ht="18" customHeight="1" x14ac:dyDescent="0.3">
      <c r="A68" s="42">
        <v>2082</v>
      </c>
      <c r="B68" s="42">
        <v>56</v>
      </c>
      <c r="C68" s="46" t="s">
        <v>47</v>
      </c>
      <c r="D68" s="44">
        <v>-2359863.9351062346</v>
      </c>
      <c r="E68" s="45">
        <v>-1143483.4331223427</v>
      </c>
      <c r="F68" s="44">
        <v>-3503347.3682285771</v>
      </c>
      <c r="G68" s="44" t="b">
        <v>1</v>
      </c>
      <c r="H68" s="83">
        <v>254.10742958274278</v>
      </c>
      <c r="I68" s="45">
        <v>1829573.4929957481</v>
      </c>
      <c r="J68" s="44">
        <v>-1673773.875232829</v>
      </c>
      <c r="K68" s="45">
        <v>3630834.6021159971</v>
      </c>
      <c r="L68" s="44">
        <v>132615.21193372065</v>
      </c>
      <c r="M68" s="46">
        <v>3763449.814049718</v>
      </c>
    </row>
    <row r="69" spans="1:13" s="48" customFormat="1" ht="18" customHeight="1" x14ac:dyDescent="0.3">
      <c r="A69" s="42">
        <v>2083</v>
      </c>
      <c r="B69" s="42">
        <v>57</v>
      </c>
      <c r="C69" s="46" t="s">
        <v>51</v>
      </c>
      <c r="D69" s="44">
        <v>-2430659.8531594211</v>
      </c>
      <c r="E69" s="45">
        <v>-1177787.9361160125</v>
      </c>
      <c r="F69" s="44">
        <v>-3608447.7892754339</v>
      </c>
      <c r="G69" s="44" t="b">
        <v>0</v>
      </c>
      <c r="H69" s="83">
        <v>254.10742958274278</v>
      </c>
      <c r="I69" s="45">
        <v>1829573.4929957481</v>
      </c>
      <c r="J69" s="44">
        <v>-1778874.2962796858</v>
      </c>
      <c r="K69" s="45">
        <v>1851960.3058363113</v>
      </c>
      <c r="L69" s="44">
        <v>90770.865052899928</v>
      </c>
      <c r="M69" s="46">
        <v>1942731.1708892114</v>
      </c>
    </row>
    <row r="70" spans="1:13" s="48" customFormat="1" ht="18" customHeight="1" x14ac:dyDescent="0.3">
      <c r="A70" s="42">
        <v>2084</v>
      </c>
      <c r="B70" s="42">
        <v>58</v>
      </c>
      <c r="C70" s="46" t="s">
        <v>52</v>
      </c>
      <c r="D70" s="44">
        <v>-2503579.6487542037</v>
      </c>
      <c r="E70" s="45">
        <v>-1213121.574199493</v>
      </c>
      <c r="F70" s="44">
        <v>-3716701.2229536967</v>
      </c>
      <c r="G70" s="44" t="b">
        <v>0</v>
      </c>
      <c r="H70" s="83">
        <v>254.10742958274278</v>
      </c>
      <c r="I70" s="45">
        <v>1829573.4929957481</v>
      </c>
      <c r="J70" s="44">
        <v>-1887127.7299579487</v>
      </c>
      <c r="K70" s="45">
        <v>-35167.424121637363</v>
      </c>
      <c r="L70" s="44">
        <v>46299.007645907783</v>
      </c>
      <c r="M70" s="46">
        <v>11131.58352427042</v>
      </c>
    </row>
    <row r="71" spans="1:13" s="48" customFormat="1" ht="18" customHeight="1" x14ac:dyDescent="0.3">
      <c r="A71" s="42">
        <v>2085</v>
      </c>
      <c r="B71" s="42">
        <v>59</v>
      </c>
      <c r="C71" s="46"/>
      <c r="D71" s="44">
        <v>0</v>
      </c>
      <c r="E71" s="45">
        <v>-1249515.2214254779</v>
      </c>
      <c r="F71" s="44">
        <v>-1249515.2214254779</v>
      </c>
      <c r="G71" s="44" t="b">
        <v>0</v>
      </c>
      <c r="H71" s="83">
        <v>254.10742958274278</v>
      </c>
      <c r="I71" s="45">
        <v>1829573.4929957481</v>
      </c>
      <c r="J71" s="44">
        <v>580058.27157027018</v>
      </c>
      <c r="K71" s="45">
        <v>544890.84744863282</v>
      </c>
      <c r="L71" s="44">
        <v>-879.1856030409341</v>
      </c>
      <c r="M71" s="46">
        <v>544011.66184559185</v>
      </c>
    </row>
    <row r="72" spans="1:13" s="48" customFormat="1" ht="18" customHeight="1" x14ac:dyDescent="0.3">
      <c r="A72" s="42">
        <v>2086</v>
      </c>
      <c r="B72" s="42">
        <v>60</v>
      </c>
      <c r="C72" s="46"/>
      <c r="D72" s="44">
        <v>0</v>
      </c>
      <c r="E72" s="45">
        <v>-1287000.6780682423</v>
      </c>
      <c r="F72" s="44">
        <v>-1287000.6780682423</v>
      </c>
      <c r="G72" s="44" t="b">
        <v>0</v>
      </c>
      <c r="H72" s="83">
        <v>254.10742958274278</v>
      </c>
      <c r="I72" s="45">
        <v>1829573.4929957481</v>
      </c>
      <c r="J72" s="44">
        <v>542572.81492750579</v>
      </c>
      <c r="K72" s="45">
        <v>1087463.6623761386</v>
      </c>
      <c r="L72" s="44">
        <v>13622.271186215821</v>
      </c>
      <c r="M72" s="46">
        <v>1101085.9335623544</v>
      </c>
    </row>
    <row r="73" spans="1:13" ht="18" customHeight="1" x14ac:dyDescent="0.3">
      <c r="A73"/>
      <c r="B73"/>
      <c r="D73"/>
      <c r="E73"/>
      <c r="F73"/>
      <c r="G73"/>
      <c r="H73" s="81"/>
      <c r="I73"/>
      <c r="J73"/>
      <c r="K73"/>
      <c r="L73"/>
    </row>
    <row r="74" spans="1:13" ht="18" customHeight="1" x14ac:dyDescent="0.3">
      <c r="A74"/>
      <c r="B74"/>
      <c r="D74"/>
      <c r="E74"/>
      <c r="F74"/>
      <c r="G74"/>
      <c r="H74" s="81"/>
      <c r="I74"/>
      <c r="J74"/>
      <c r="K74"/>
      <c r="L74"/>
    </row>
    <row r="75" spans="1:13" ht="18" customHeight="1" x14ac:dyDescent="0.3">
      <c r="A75"/>
      <c r="B75"/>
      <c r="D75"/>
      <c r="E75"/>
      <c r="F75"/>
      <c r="G75"/>
      <c r="H75" s="81"/>
      <c r="I75"/>
      <c r="J75"/>
      <c r="K75"/>
      <c r="L75"/>
    </row>
    <row r="76" spans="1:13" ht="18" customHeight="1" x14ac:dyDescent="0.3">
      <c r="A76"/>
      <c r="B76"/>
      <c r="D76"/>
      <c r="E76"/>
      <c r="F76"/>
      <c r="G76"/>
      <c r="H76" s="81"/>
      <c r="I76"/>
      <c r="J76"/>
      <c r="K76"/>
      <c r="L76"/>
    </row>
    <row r="77" spans="1:13" ht="18" customHeight="1" x14ac:dyDescent="0.3">
      <c r="A77"/>
      <c r="B77"/>
      <c r="D77"/>
      <c r="E77"/>
      <c r="F77"/>
      <c r="G77"/>
      <c r="H77" s="81"/>
      <c r="I77"/>
      <c r="J77"/>
      <c r="K77"/>
      <c r="L77"/>
    </row>
    <row r="78" spans="1:13" ht="18" customHeight="1" x14ac:dyDescent="0.3">
      <c r="A78"/>
      <c r="B78"/>
      <c r="D78"/>
      <c r="E78"/>
      <c r="F78"/>
      <c r="G78"/>
      <c r="H78" s="81"/>
      <c r="I78"/>
      <c r="J78"/>
      <c r="K78"/>
      <c r="L78"/>
    </row>
    <row r="79" spans="1:13" ht="18" customHeight="1" x14ac:dyDescent="0.3">
      <c r="A79"/>
      <c r="B79"/>
      <c r="D79"/>
      <c r="E79"/>
      <c r="F79"/>
      <c r="G79"/>
      <c r="H79" s="81"/>
      <c r="I79"/>
      <c r="J79"/>
      <c r="K79"/>
      <c r="L79"/>
    </row>
    <row r="80" spans="1:13" ht="18" customHeight="1" x14ac:dyDescent="0.3">
      <c r="A80"/>
      <c r="B80"/>
      <c r="D80"/>
      <c r="E80"/>
      <c r="F80"/>
      <c r="G80"/>
      <c r="H80" s="81"/>
      <c r="I80"/>
      <c r="J80"/>
      <c r="K80"/>
      <c r="L80"/>
    </row>
    <row r="81" spans="1:12" ht="18" customHeight="1" x14ac:dyDescent="0.3">
      <c r="A81"/>
      <c r="B81"/>
      <c r="D81"/>
      <c r="E81"/>
      <c r="F81"/>
      <c r="G81"/>
      <c r="H81" s="81"/>
      <c r="I81"/>
      <c r="J81"/>
      <c r="K81"/>
      <c r="L81"/>
    </row>
    <row r="82" spans="1:12" ht="18" customHeight="1" x14ac:dyDescent="0.3">
      <c r="A82"/>
      <c r="B82"/>
      <c r="D82"/>
      <c r="E82"/>
      <c r="F82"/>
      <c r="G82"/>
      <c r="H82" s="81"/>
      <c r="I82"/>
      <c r="J82"/>
      <c r="K82"/>
      <c r="L82"/>
    </row>
    <row r="83" spans="1:12" ht="18" customHeight="1" x14ac:dyDescent="0.3">
      <c r="A83"/>
      <c r="B83"/>
      <c r="D83"/>
      <c r="E83"/>
      <c r="F83"/>
      <c r="G83"/>
      <c r="H83" s="81"/>
      <c r="I83"/>
      <c r="J83"/>
      <c r="K83"/>
      <c r="L83"/>
    </row>
    <row r="84" spans="1:12" ht="18" customHeight="1" x14ac:dyDescent="0.3">
      <c r="A84"/>
      <c r="B84"/>
      <c r="D84"/>
      <c r="E84"/>
      <c r="F84"/>
      <c r="G84"/>
      <c r="H84" s="81"/>
      <c r="I84"/>
      <c r="J84"/>
      <c r="K84"/>
      <c r="L84"/>
    </row>
    <row r="85" spans="1:12" ht="18" customHeight="1" x14ac:dyDescent="0.3">
      <c r="A85"/>
      <c r="B85"/>
      <c r="D85"/>
      <c r="E85"/>
      <c r="F85"/>
      <c r="G85"/>
      <c r="H85" s="81"/>
      <c r="I85"/>
      <c r="J85"/>
      <c r="K85"/>
      <c r="L85"/>
    </row>
    <row r="86" spans="1:12" ht="18" customHeight="1" x14ac:dyDescent="0.3">
      <c r="A86"/>
      <c r="B86"/>
      <c r="D86"/>
      <c r="E86"/>
      <c r="F86"/>
      <c r="G86"/>
      <c r="H86" s="81"/>
      <c r="I86"/>
      <c r="J86"/>
      <c r="K86"/>
      <c r="L86"/>
    </row>
    <row r="87" spans="1:12" ht="18" customHeight="1" x14ac:dyDescent="0.3">
      <c r="A87"/>
      <c r="B87"/>
      <c r="D87"/>
      <c r="E87"/>
      <c r="F87"/>
      <c r="G87"/>
      <c r="H87" s="81"/>
      <c r="I87"/>
      <c r="J87"/>
      <c r="K87"/>
      <c r="L87"/>
    </row>
  </sheetData>
  <mergeCells count="1">
    <mergeCell ref="A12:B12"/>
  </mergeCells>
  <pageMargins left="1" right="1" top="0" bottom="1" header="0" footer="0.5"/>
  <pageSetup paperSize="3" orientation="landscape" r:id="rId1"/>
  <headerFooter>
    <oddFooter>&amp;L&amp;Z&amp;F&amp;RPage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78E8C2-8EF1-4C64-860D-5175F6563BEA}">
          <x14:formula1>
            <xm:f>Links!$B:$B</xm:f>
          </x14:formula1>
          <xm:sqref>C13:C72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7A2B-D8EC-4C79-A3D9-BC9DDB8AE5EB}">
  <dimension ref="A1:G19"/>
  <sheetViews>
    <sheetView workbookViewId="0">
      <selection activeCell="F4" sqref="F4"/>
    </sheetView>
  </sheetViews>
  <sheetFormatPr defaultRowHeight="14.4" x14ac:dyDescent="0.3"/>
  <cols>
    <col min="2" max="2" width="26" customWidth="1"/>
  </cols>
  <sheetData>
    <row r="1" spans="1:7" x14ac:dyDescent="0.3">
      <c r="A1" t="s">
        <v>70</v>
      </c>
    </row>
    <row r="2" spans="1:7" x14ac:dyDescent="0.3">
      <c r="A2" cm="1">
        <f t="array" ref="A2:A19">_xlfn.LET(_xlpm.projectnumbers,'Project Estimates'!A8:A725,_xlfn._xlws.FILTER(_xlpm.projectnumbers,(_xlpm.projectnumbers=INT(_xlpm.projectnumbers))*ISNUMBER(_xlpm.projectnumbers),""))</f>
        <v>1</v>
      </c>
      <c r="B2" t="str" cm="1">
        <f t="array" ref="B2:B19">_xlfn.LET(_xlpm.searchfor,_xlfn.ANCHORARRAY(Links!A2),_xlpm.searchList,'Project Estimates'!A8:A725,_xlpm.returnList,'Project Estimates'!B8:B725,_xlfn.XLOOKUP(_xlpm.searchfor,_xlpm.searchList,_xlpm.returnList,"No Title"))</f>
        <v>Well to Tank Segment 1</v>
      </c>
      <c r="C2" cm="1">
        <f t="array" ref="C2:C19">_xlfn.LET(_xlpm.searchfor,_xlfn.ANCHORARRAY(Links!A2),_xlpm.searchList,'Project Estimates'!A8:A725,_xlpm.returnList,'Project Estimates'!F8:F725,_xlfn.XLOOKUP(_xlpm.searchfor,_xlpm.searchList,_xlpm.returnList,"No Title"))</f>
        <v>538638.75</v>
      </c>
      <c r="E2" t="s">
        <v>101</v>
      </c>
      <c r="F2">
        <f>SUM(C2:C16)</f>
        <v>9688068</v>
      </c>
      <c r="G2">
        <f>F2/600</f>
        <v>16146.78</v>
      </c>
    </row>
    <row r="3" spans="1:7" x14ac:dyDescent="0.3">
      <c r="A3">
        <v>2</v>
      </c>
      <c r="B3" t="str">
        <v>Well to Tank Segment 2</v>
      </c>
      <c r="C3">
        <v>448627.5</v>
      </c>
      <c r="E3" t="s">
        <v>102</v>
      </c>
      <c r="F3">
        <f>SUM(C8:C13,C17,C18,C19,2000000)</f>
        <v>5627469.25</v>
      </c>
      <c r="G3">
        <f>F3/600</f>
        <v>9379.1154166666674</v>
      </c>
    </row>
    <row r="4" spans="1:7" x14ac:dyDescent="0.3">
      <c r="A4">
        <v>3</v>
      </c>
      <c r="B4" t="str">
        <v>Well to Tank Segment 3</v>
      </c>
      <c r="C4">
        <v>818038.75</v>
      </c>
    </row>
    <row r="5" spans="1:7" x14ac:dyDescent="0.3">
      <c r="A5">
        <v>4</v>
      </c>
      <c r="B5" t="str">
        <v>Nordic Valley Way Segment 1</v>
      </c>
      <c r="C5">
        <v>464343.75</v>
      </c>
    </row>
    <row r="6" spans="1:7" x14ac:dyDescent="0.3">
      <c r="A6">
        <v>5</v>
      </c>
      <c r="B6" t="str">
        <v>Nordic Valley Way Segment 2</v>
      </c>
      <c r="C6">
        <v>464343.75</v>
      </c>
    </row>
    <row r="7" spans="1:7" x14ac:dyDescent="0.3">
      <c r="A7">
        <v>6</v>
      </c>
      <c r="B7" t="str">
        <v>Nordic Valley Way Segment 3</v>
      </c>
      <c r="C7">
        <v>464343.75</v>
      </c>
    </row>
    <row r="8" spans="1:7" x14ac:dyDescent="0.3">
      <c r="A8">
        <v>7</v>
      </c>
      <c r="B8" t="str">
        <v xml:space="preserve">Tank to Distribution </v>
      </c>
      <c r="C8">
        <v>464343.75</v>
      </c>
    </row>
    <row r="9" spans="1:7" x14ac:dyDescent="0.3">
      <c r="A9">
        <v>8</v>
      </c>
      <c r="B9" t="str">
        <v>Street A</v>
      </c>
      <c r="C9">
        <v>545496.75</v>
      </c>
    </row>
    <row r="10" spans="1:7" x14ac:dyDescent="0.3">
      <c r="A10">
        <v>9</v>
      </c>
      <c r="B10" t="str">
        <v>Street B</v>
      </c>
      <c r="C10">
        <v>264604.5</v>
      </c>
    </row>
    <row r="11" spans="1:7" x14ac:dyDescent="0.3">
      <c r="A11">
        <v>10</v>
      </c>
      <c r="B11" t="str">
        <v>"S" Street</v>
      </c>
      <c r="C11">
        <v>568007.5</v>
      </c>
    </row>
    <row r="12" spans="1:7" x14ac:dyDescent="0.3">
      <c r="A12">
        <v>11</v>
      </c>
      <c r="B12" t="str">
        <v>3850 E Street</v>
      </c>
      <c r="C12">
        <v>324040.5</v>
      </c>
    </row>
    <row r="13" spans="1:7" x14ac:dyDescent="0.3">
      <c r="A13">
        <v>12</v>
      </c>
      <c r="B13" t="str">
        <v>Well to Tank Segment 3</v>
      </c>
      <c r="C13">
        <v>818038.75</v>
      </c>
    </row>
    <row r="14" spans="1:7" x14ac:dyDescent="0.3">
      <c r="A14">
        <v>13</v>
      </c>
      <c r="B14" t="str">
        <v>Well Retooling</v>
      </c>
      <c r="C14">
        <v>95250</v>
      </c>
    </row>
    <row r="15" spans="1:7" x14ac:dyDescent="0.3">
      <c r="A15">
        <v>14</v>
      </c>
      <c r="B15" t="str">
        <v>Well Reconstruction</v>
      </c>
      <c r="C15">
        <v>1377950</v>
      </c>
    </row>
    <row r="16" spans="1:7" x14ac:dyDescent="0.3">
      <c r="A16">
        <v>15</v>
      </c>
      <c r="B16" t="str">
        <v>Tank Reconstruction</v>
      </c>
      <c r="C16">
        <v>2032000</v>
      </c>
    </row>
    <row r="17" spans="1:3" x14ac:dyDescent="0.3">
      <c r="A17">
        <v>16</v>
      </c>
      <c r="B17" t="str">
        <v>Utility Outlet Reconstruction</v>
      </c>
      <c r="C17">
        <v>198437.5</v>
      </c>
    </row>
    <row r="18" spans="1:3" x14ac:dyDescent="0.3">
      <c r="A18">
        <v>17</v>
      </c>
      <c r="B18" t="str">
        <v>Dam Outlet Reconstruction</v>
      </c>
      <c r="C18">
        <v>233045</v>
      </c>
    </row>
    <row r="19" spans="1:3" x14ac:dyDescent="0.3">
      <c r="A19">
        <v>18</v>
      </c>
      <c r="B19" t="str">
        <v>Diversion Reconstruction</v>
      </c>
      <c r="C19">
        <v>211455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41F10-0B68-4639-83D6-99C4A828CC13}">
  <dimension ref="A1:M87"/>
  <sheetViews>
    <sheetView view="pageLayout" topLeftCell="B63" zoomScaleNormal="100" workbookViewId="0">
      <selection activeCell="M72" sqref="M72"/>
    </sheetView>
  </sheetViews>
  <sheetFormatPr defaultColWidth="8.88671875" defaultRowHeight="18" customHeight="1" x14ac:dyDescent="0.3"/>
  <cols>
    <col min="1" max="2" width="6.33203125" style="30" customWidth="1"/>
    <col min="3" max="3" width="38.33203125" customWidth="1"/>
    <col min="4" max="5" width="12.77734375" style="7" customWidth="1"/>
    <col min="6" max="6" width="16" style="7" customWidth="1"/>
    <col min="7" max="7" width="12.77734375" style="7" hidden="1" customWidth="1"/>
    <col min="8" max="8" width="12.77734375" style="3" customWidth="1"/>
    <col min="9" max="9" width="12.77734375" style="7" customWidth="1"/>
    <col min="10" max="11" width="16" style="7" customWidth="1"/>
    <col min="12" max="12" width="12.77734375" style="7" customWidth="1"/>
    <col min="13" max="13" width="19.109375" style="3" customWidth="1"/>
  </cols>
  <sheetData>
    <row r="1" spans="1:13" ht="86.4" customHeight="1" x14ac:dyDescent="0.3"/>
    <row r="2" spans="1:13" s="1" customFormat="1" ht="21.6" customHeight="1" x14ac:dyDescent="0.45">
      <c r="A2" s="31" t="s">
        <v>100</v>
      </c>
      <c r="B2" s="31"/>
      <c r="D2" s="33"/>
      <c r="E2" s="33"/>
      <c r="F2" s="33"/>
      <c r="G2" s="33"/>
      <c r="H2" s="78"/>
      <c r="I2" s="33"/>
      <c r="J2" s="33"/>
      <c r="K2" s="33"/>
      <c r="L2" s="33"/>
      <c r="M2" s="78"/>
    </row>
    <row r="3" spans="1:13" s="2" customFormat="1" ht="18" customHeight="1" x14ac:dyDescent="0.3">
      <c r="A3" s="32" t="s">
        <v>34</v>
      </c>
      <c r="B3" s="32"/>
      <c r="D3" s="6"/>
      <c r="E3" s="6"/>
      <c r="F3" s="6"/>
      <c r="G3" s="6"/>
      <c r="H3" s="79"/>
      <c r="I3" s="6"/>
      <c r="J3" s="6"/>
      <c r="K3" s="6"/>
      <c r="L3" s="6"/>
      <c r="M3" s="79"/>
    </row>
    <row r="4" spans="1:13" s="2" customFormat="1" ht="18" customHeight="1" x14ac:dyDescent="0.3">
      <c r="A4" s="32" t="str">
        <f ca="1">"Date: "&amp;TEXT(TODAY(),"DD MMMM YYYY")</f>
        <v>Date: 16 July 2026</v>
      </c>
      <c r="B4" s="32"/>
      <c r="C4" s="6"/>
      <c r="D4" s="6"/>
      <c r="E4" s="6"/>
      <c r="F4" s="6"/>
      <c r="G4" s="6"/>
      <c r="H4" s="79"/>
      <c r="I4" s="6"/>
      <c r="J4" s="6"/>
      <c r="K4" s="6"/>
      <c r="L4" s="6"/>
      <c r="M4" s="79"/>
    </row>
    <row r="5" spans="1:13" s="2" customFormat="1" ht="18" customHeight="1" x14ac:dyDescent="0.3">
      <c r="A5" s="32" t="s">
        <v>92</v>
      </c>
      <c r="B5" s="32"/>
      <c r="E5" s="6"/>
      <c r="F5" s="6"/>
      <c r="G5" s="6"/>
      <c r="H5" s="79"/>
      <c r="I5" s="6"/>
      <c r="J5" s="6"/>
      <c r="K5" s="6"/>
      <c r="L5" s="6"/>
      <c r="M5" s="79"/>
    </row>
    <row r="6" spans="1:13" s="2" customFormat="1" ht="18" customHeight="1" x14ac:dyDescent="0.3">
      <c r="A6" s="32"/>
      <c r="B6" s="32"/>
      <c r="D6" s="6"/>
      <c r="E6" s="6"/>
      <c r="F6" s="6"/>
      <c r="G6" s="6"/>
      <c r="H6" s="79"/>
      <c r="I6" s="6"/>
      <c r="J6" s="6"/>
      <c r="K6" s="6"/>
      <c r="L6" s="6"/>
      <c r="M6" s="79"/>
    </row>
    <row r="7" spans="1:13" s="2" customFormat="1" ht="18" customHeight="1" x14ac:dyDescent="0.3">
      <c r="A7" t="s">
        <v>35</v>
      </c>
      <c r="B7"/>
      <c r="D7" s="7">
        <v>375</v>
      </c>
      <c r="E7" s="6"/>
      <c r="F7" s="7" t="s">
        <v>89</v>
      </c>
      <c r="G7" s="7"/>
      <c r="H7" s="81"/>
      <c r="I7" s="85">
        <v>0.03</v>
      </c>
      <c r="K7" s="6"/>
      <c r="L7" s="6"/>
      <c r="M7" s="79"/>
    </row>
    <row r="8" spans="1:13" ht="18" customHeight="1" x14ac:dyDescent="0.3">
      <c r="A8" t="s">
        <v>94</v>
      </c>
      <c r="B8"/>
      <c r="D8" s="5">
        <v>600</v>
      </c>
      <c r="F8" s="7" t="s">
        <v>90</v>
      </c>
      <c r="I8" s="85">
        <v>2.5000000000000001E-2</v>
      </c>
    </row>
    <row r="9" spans="1:13" ht="18" customHeight="1" x14ac:dyDescent="0.3">
      <c r="A9" t="s">
        <v>36</v>
      </c>
      <c r="B9"/>
      <c r="D9" s="7">
        <f>D8*D7</f>
        <v>225000</v>
      </c>
      <c r="F9" s="86" t="s">
        <v>93</v>
      </c>
      <c r="G9" s="86"/>
      <c r="I9" s="5">
        <v>5</v>
      </c>
    </row>
    <row r="10" spans="1:13" ht="18" customHeight="1" x14ac:dyDescent="0.3">
      <c r="A10" t="s">
        <v>37</v>
      </c>
      <c r="B10"/>
      <c r="D10" s="3">
        <v>50</v>
      </c>
    </row>
    <row r="11" spans="1:13" ht="18" customHeight="1" x14ac:dyDescent="0.3">
      <c r="A11"/>
      <c r="B11"/>
      <c r="D11" s="3"/>
    </row>
    <row r="12" spans="1:13" ht="29.4" thickBot="1" x14ac:dyDescent="0.35">
      <c r="A12" s="87" t="s">
        <v>20</v>
      </c>
      <c r="B12" s="87"/>
      <c r="C12" s="11" t="s">
        <v>28</v>
      </c>
      <c r="D12" s="34" t="s">
        <v>29</v>
      </c>
      <c r="E12" s="34" t="s">
        <v>30</v>
      </c>
      <c r="F12" s="34" t="s">
        <v>31</v>
      </c>
      <c r="G12" s="34"/>
      <c r="H12" s="82" t="s">
        <v>19</v>
      </c>
      <c r="I12" s="34" t="s">
        <v>32</v>
      </c>
      <c r="J12" s="34" t="s">
        <v>91</v>
      </c>
      <c r="K12" s="34" t="s">
        <v>88</v>
      </c>
      <c r="L12" s="34" t="s">
        <v>95</v>
      </c>
      <c r="M12" s="34" t="s">
        <v>33</v>
      </c>
    </row>
    <row r="13" spans="1:13" s="41" customFormat="1" ht="18" customHeight="1" thickTop="1" x14ac:dyDescent="0.3">
      <c r="A13" s="35" cm="1">
        <f t="array" ref="A13:A72">_xlfn.SEQUENCE(60,,2027)</f>
        <v>2027</v>
      </c>
      <c r="B13" s="35" cm="1">
        <f t="array" ref="B13:B72">_xlfn.SEQUENCE(60)</f>
        <v>1</v>
      </c>
      <c r="C13" s="36"/>
      <c r="D13" s="37" cm="1">
        <f t="array" ref="D13:D72">-FV(I7,_xlfn.ANCHORARRAY(B13)-1,0,-_xlfn.XLOOKUP(C13:C72,_xlfn.ANCHORARRAY(Links!B2),_xlfn.ANCHORARRAY(Links!C2),0))</f>
        <v>0</v>
      </c>
      <c r="E13" s="38" cm="1">
        <f t="array" ref="E13:E72">-FV(I7,_xlfn.ANCHORARRAY(B13)-1,0,-D9)</f>
        <v>-225000</v>
      </c>
      <c r="F13" s="37" cm="1">
        <f t="array" ref="F13:F72">_xlfn.ANCHORARRAY(D13)+_xlfn.ANCHORARRAY(E13)</f>
        <v>-225000</v>
      </c>
      <c r="G13" s="40" t="b" cm="1">
        <f t="array" ref="G13:G72">IF(MOD(_xlfn.ANCHORARRAY(B13)-1,$I$9)=0,TRUE,FALSE)</f>
        <v>1</v>
      </c>
      <c r="H13" s="84" cm="1">
        <f t="array" ref="H13:H72">_xlfn.SCAN($D$10, _xlfn.SEQUENCE(ROWS(_xlfn.ANCHORARRAY(G13))), _xlfn.LAMBDA(_xlpm.prev,_xlpm.rowNum, IF(INDEX(_xlfn.ANCHORARRAY(G13), _xlpm.rowNum), FV($I$7, (_xlpm.rowNum-1), 0, -$D$10), _xlpm.prev)))</f>
        <v>50</v>
      </c>
      <c r="I13" s="39" cm="1">
        <f t="array" ref="I13:I72">_xlfn.ANCHORARRAY(H13)*12*D8</f>
        <v>360000</v>
      </c>
      <c r="J13" s="40" cm="1">
        <f t="array" ref="J13:J72">_xlfn.ANCHORARRAY(F13)+_xlfn.ANCHORARRAY(I13)</f>
        <v>135000</v>
      </c>
      <c r="K13" s="39" cm="1">
        <f t="array" ref="K13:K72">_xlfn.SCAN(0,_xlfn.ANCHORARRAY( J13), _xlfn.LAMBDA(_xlpm.a,_xlpm.b, _xlpm.a + _xlpm.b))</f>
        <v>135000</v>
      </c>
      <c r="L13" s="40">
        <v>0</v>
      </c>
      <c r="M13" s="80" cm="1">
        <f t="array" ref="M13:M72">_xlfn.VSTACK(L13,_xlfn.ANCHORARRAY(L14))+_xlfn.ANCHORARRAY(K13)</f>
        <v>135000</v>
      </c>
    </row>
    <row r="14" spans="1:13" s="43" customFormat="1" ht="18" customHeight="1" x14ac:dyDescent="0.3">
      <c r="A14" s="42">
        <v>2028</v>
      </c>
      <c r="B14" s="42">
        <v>2</v>
      </c>
      <c r="D14" s="44">
        <v>0</v>
      </c>
      <c r="E14" s="45">
        <v>-231750</v>
      </c>
      <c r="F14" s="44">
        <v>-231750</v>
      </c>
      <c r="G14" s="44" t="b">
        <v>0</v>
      </c>
      <c r="H14" s="83">
        <v>50</v>
      </c>
      <c r="I14" s="45">
        <v>360000</v>
      </c>
      <c r="J14" s="44">
        <v>128250</v>
      </c>
      <c r="K14" s="45">
        <v>263250</v>
      </c>
      <c r="L14" s="44" cm="1">
        <f t="array" ref="L14:L72">_xlfn.TAKE(_xlfn.ANCHORARRAY(K13),ROWS(_xlfn.ANCHORARRAY(K13))-1)*I8</f>
        <v>3375</v>
      </c>
      <c r="M14" s="46">
        <v>266625</v>
      </c>
    </row>
    <row r="15" spans="1:13" s="45" customFormat="1" ht="18" customHeight="1" x14ac:dyDescent="0.3">
      <c r="A15" s="42">
        <v>2029</v>
      </c>
      <c r="B15" s="42">
        <v>3</v>
      </c>
      <c r="D15" s="44">
        <v>0</v>
      </c>
      <c r="E15" s="45">
        <v>-238702.5</v>
      </c>
      <c r="F15" s="44">
        <v>-238702.5</v>
      </c>
      <c r="G15" s="44" t="b">
        <v>0</v>
      </c>
      <c r="H15" s="83">
        <v>50</v>
      </c>
      <c r="I15" s="45">
        <v>360000</v>
      </c>
      <c r="J15" s="44">
        <v>121297.5</v>
      </c>
      <c r="K15" s="45">
        <v>384547.5</v>
      </c>
      <c r="L15" s="44">
        <v>6581.25</v>
      </c>
      <c r="M15" s="46">
        <v>391128.75</v>
      </c>
    </row>
    <row r="16" spans="1:13" s="45" customFormat="1" ht="18" customHeight="1" x14ac:dyDescent="0.3">
      <c r="A16" s="42">
        <v>2030</v>
      </c>
      <c r="B16" s="42">
        <v>4</v>
      </c>
      <c r="D16" s="44">
        <v>0</v>
      </c>
      <c r="E16" s="45">
        <v>-245863.57500000001</v>
      </c>
      <c r="F16" s="44">
        <v>-245863.57500000001</v>
      </c>
      <c r="G16" s="44" t="b">
        <v>0</v>
      </c>
      <c r="H16" s="83">
        <v>50</v>
      </c>
      <c r="I16" s="45">
        <v>360000</v>
      </c>
      <c r="J16" s="44">
        <v>114136.42499999999</v>
      </c>
      <c r="K16" s="45">
        <v>498683.92499999999</v>
      </c>
      <c r="L16" s="44">
        <v>9613.6875</v>
      </c>
      <c r="M16" s="46">
        <v>508297.61249999999</v>
      </c>
    </row>
    <row r="17" spans="1:13" s="46" customFormat="1" ht="18" customHeight="1" x14ac:dyDescent="0.3">
      <c r="A17" s="42">
        <v>2031</v>
      </c>
      <c r="B17" s="42">
        <v>5</v>
      </c>
      <c r="D17" s="44">
        <v>0</v>
      </c>
      <c r="E17" s="45">
        <v>-253239.48224999997</v>
      </c>
      <c r="F17" s="44">
        <v>-253239.48224999997</v>
      </c>
      <c r="G17" s="44" t="b">
        <v>0</v>
      </c>
      <c r="H17" s="83">
        <v>50</v>
      </c>
      <c r="I17" s="45">
        <v>360000</v>
      </c>
      <c r="J17" s="44">
        <v>106760.51775000003</v>
      </c>
      <c r="K17" s="45">
        <v>605444.44275000005</v>
      </c>
      <c r="L17" s="44">
        <v>12467.098125</v>
      </c>
      <c r="M17" s="46">
        <v>617911.54087500006</v>
      </c>
    </row>
    <row r="18" spans="1:13" s="46" customFormat="1" ht="18" customHeight="1" x14ac:dyDescent="0.3">
      <c r="A18" s="42">
        <v>2032</v>
      </c>
      <c r="B18" s="42">
        <v>6</v>
      </c>
      <c r="D18" s="44">
        <v>0</v>
      </c>
      <c r="E18" s="45">
        <v>-260836.66671749996</v>
      </c>
      <c r="F18" s="44">
        <v>-260836.66671749996</v>
      </c>
      <c r="G18" s="44" t="b">
        <v>1</v>
      </c>
      <c r="H18" s="83">
        <v>57.963703714999994</v>
      </c>
      <c r="I18" s="45">
        <v>417338.6667479999</v>
      </c>
      <c r="J18" s="44">
        <v>156502.00003049994</v>
      </c>
      <c r="K18" s="45">
        <v>761946.44278050005</v>
      </c>
      <c r="L18" s="44">
        <v>15136.111068750002</v>
      </c>
      <c r="M18" s="46">
        <v>777082.55384925008</v>
      </c>
    </row>
    <row r="19" spans="1:13" s="46" customFormat="1" ht="18" customHeight="1" x14ac:dyDescent="0.3">
      <c r="A19" s="42">
        <v>2033</v>
      </c>
      <c r="B19" s="42">
        <v>7</v>
      </c>
      <c r="D19" s="44">
        <v>0</v>
      </c>
      <c r="E19" s="45">
        <v>-268661.76671902498</v>
      </c>
      <c r="F19" s="44">
        <v>-268661.76671902498</v>
      </c>
      <c r="G19" s="44" t="b">
        <v>0</v>
      </c>
      <c r="H19" s="83">
        <v>57.963703714999994</v>
      </c>
      <c r="I19" s="45">
        <v>417338.6667479999</v>
      </c>
      <c r="J19" s="44">
        <v>148676.90002897492</v>
      </c>
      <c r="K19" s="45">
        <v>910623.34280947503</v>
      </c>
      <c r="L19" s="44">
        <v>19048.661069512502</v>
      </c>
      <c r="M19" s="46">
        <v>929672.00387898751</v>
      </c>
    </row>
    <row r="20" spans="1:13" s="46" customFormat="1" ht="18" customHeight="1" x14ac:dyDescent="0.3">
      <c r="A20" s="42">
        <v>2034</v>
      </c>
      <c r="B20" s="42">
        <v>8</v>
      </c>
      <c r="D20" s="44">
        <v>0</v>
      </c>
      <c r="E20" s="45">
        <v>-276721.61972059577</v>
      </c>
      <c r="F20" s="44">
        <v>-276721.61972059577</v>
      </c>
      <c r="G20" s="44" t="b">
        <v>0</v>
      </c>
      <c r="H20" s="83">
        <v>57.963703714999994</v>
      </c>
      <c r="I20" s="45">
        <v>417338.6667479999</v>
      </c>
      <c r="J20" s="44">
        <v>140617.04702740413</v>
      </c>
      <c r="K20" s="45">
        <v>1051240.3898368792</v>
      </c>
      <c r="L20" s="44">
        <v>22765.583570236879</v>
      </c>
      <c r="M20" s="46">
        <v>1074005.973407116</v>
      </c>
    </row>
    <row r="21" spans="1:13" s="47" customFormat="1" ht="18" customHeight="1" x14ac:dyDescent="0.3">
      <c r="A21" s="42">
        <v>2035</v>
      </c>
      <c r="B21" s="42">
        <v>9</v>
      </c>
      <c r="C21" s="46"/>
      <c r="D21" s="44">
        <v>0</v>
      </c>
      <c r="E21" s="45">
        <v>-285023.26831221359</v>
      </c>
      <c r="F21" s="44">
        <v>-285023.26831221359</v>
      </c>
      <c r="G21" s="44" t="b">
        <v>0</v>
      </c>
      <c r="H21" s="83">
        <v>57.963703714999994</v>
      </c>
      <c r="I21" s="45">
        <v>417338.6667479999</v>
      </c>
      <c r="J21" s="44">
        <v>132315.39843578631</v>
      </c>
      <c r="K21" s="45">
        <v>1183555.7882726656</v>
      </c>
      <c r="L21" s="44">
        <v>26281.009745921983</v>
      </c>
      <c r="M21" s="46">
        <v>1209836.7980185875</v>
      </c>
    </row>
    <row r="22" spans="1:13" s="47" customFormat="1" ht="18" customHeight="1" x14ac:dyDescent="0.3">
      <c r="A22" s="42">
        <v>2036</v>
      </c>
      <c r="B22" s="42">
        <v>10</v>
      </c>
      <c r="C22" s="46"/>
      <c r="D22" s="44">
        <v>0</v>
      </c>
      <c r="E22" s="45">
        <v>-293573.96636158001</v>
      </c>
      <c r="F22" s="44">
        <v>-293573.96636158001</v>
      </c>
      <c r="G22" s="44" t="b">
        <v>0</v>
      </c>
      <c r="H22" s="83">
        <v>57.963703714999994</v>
      </c>
      <c r="I22" s="45">
        <v>417338.6667479999</v>
      </c>
      <c r="J22" s="44">
        <v>123764.70038641989</v>
      </c>
      <c r="K22" s="45">
        <v>1307320.4886590855</v>
      </c>
      <c r="L22" s="44">
        <v>29588.894706816642</v>
      </c>
      <c r="M22" s="46">
        <v>1336909.3833659021</v>
      </c>
    </row>
    <row r="23" spans="1:13" s="48" customFormat="1" ht="18" customHeight="1" x14ac:dyDescent="0.3">
      <c r="A23" s="42">
        <v>2037</v>
      </c>
      <c r="B23" s="42">
        <v>11</v>
      </c>
      <c r="C23" s="46"/>
      <c r="D23" s="44">
        <v>0</v>
      </c>
      <c r="E23" s="45">
        <v>-302381.18535242742</v>
      </c>
      <c r="F23" s="44">
        <v>-302381.18535242742</v>
      </c>
      <c r="G23" s="44" t="b">
        <v>1</v>
      </c>
      <c r="H23" s="83">
        <v>67.195818967206094</v>
      </c>
      <c r="I23" s="45">
        <v>483809.89656388387</v>
      </c>
      <c r="J23" s="44">
        <v>181428.71121145645</v>
      </c>
      <c r="K23" s="45">
        <v>1488749.1998705419</v>
      </c>
      <c r="L23" s="44">
        <v>32683.012216477138</v>
      </c>
      <c r="M23" s="46">
        <v>1521432.2120870191</v>
      </c>
    </row>
    <row r="24" spans="1:13" s="48" customFormat="1" ht="18" customHeight="1" x14ac:dyDescent="0.3">
      <c r="A24" s="42">
        <v>2038</v>
      </c>
      <c r="B24" s="42">
        <v>12</v>
      </c>
      <c r="C24" s="46"/>
      <c r="D24" s="44">
        <v>0</v>
      </c>
      <c r="E24" s="45">
        <v>-311452.62091300025</v>
      </c>
      <c r="F24" s="44">
        <v>-311452.62091300025</v>
      </c>
      <c r="G24" s="44" t="b">
        <v>0</v>
      </c>
      <c r="H24" s="83">
        <v>67.195818967206094</v>
      </c>
      <c r="I24" s="45">
        <v>483809.89656388387</v>
      </c>
      <c r="J24" s="44">
        <v>172357.27565088362</v>
      </c>
      <c r="K24" s="45">
        <v>1661106.4755214255</v>
      </c>
      <c r="L24" s="44">
        <v>37218.729996763548</v>
      </c>
      <c r="M24" s="46">
        <v>1698325.2055181891</v>
      </c>
    </row>
    <row r="25" spans="1:13" s="48" customFormat="1" ht="18" customHeight="1" x14ac:dyDescent="0.3">
      <c r="A25" s="42">
        <v>2039</v>
      </c>
      <c r="B25" s="42">
        <v>13</v>
      </c>
      <c r="C25" s="46"/>
      <c r="D25" s="44">
        <v>0</v>
      </c>
      <c r="E25" s="45">
        <v>-320796.19954039017</v>
      </c>
      <c r="F25" s="44">
        <v>-320796.19954039017</v>
      </c>
      <c r="G25" s="44" t="b">
        <v>0</v>
      </c>
      <c r="H25" s="83">
        <v>67.195818967206094</v>
      </c>
      <c r="I25" s="45">
        <v>483809.89656388387</v>
      </c>
      <c r="J25" s="44">
        <v>163013.6970234937</v>
      </c>
      <c r="K25" s="45">
        <v>1824120.1725449192</v>
      </c>
      <c r="L25" s="44">
        <v>41527.66188803564</v>
      </c>
      <c r="M25" s="46">
        <v>1865647.8344329549</v>
      </c>
    </row>
    <row r="26" spans="1:13" s="48" customFormat="1" ht="18" customHeight="1" x14ac:dyDescent="0.3">
      <c r="A26" s="42">
        <v>2040</v>
      </c>
      <c r="B26" s="42">
        <v>14</v>
      </c>
      <c r="C26" s="46"/>
      <c r="D26" s="44">
        <v>0</v>
      </c>
      <c r="E26" s="45">
        <v>-330420.08552660188</v>
      </c>
      <c r="F26" s="44">
        <v>-330420.08552660188</v>
      </c>
      <c r="G26" s="44" t="b">
        <v>0</v>
      </c>
      <c r="H26" s="83">
        <v>67.195818967206094</v>
      </c>
      <c r="I26" s="45">
        <v>483809.89656388387</v>
      </c>
      <c r="J26" s="44">
        <v>153389.81103728199</v>
      </c>
      <c r="K26" s="45">
        <v>1977509.9835822012</v>
      </c>
      <c r="L26" s="44">
        <v>45603.00431362298</v>
      </c>
      <c r="M26" s="46">
        <v>2023112.9878958242</v>
      </c>
    </row>
    <row r="27" spans="1:13" s="48" customFormat="1" ht="18" customHeight="1" x14ac:dyDescent="0.3">
      <c r="A27" s="42">
        <v>2041</v>
      </c>
      <c r="B27" s="42">
        <v>15</v>
      </c>
      <c r="C27" s="46"/>
      <c r="D27" s="44">
        <v>0</v>
      </c>
      <c r="E27" s="45">
        <v>-340332.68809239997</v>
      </c>
      <c r="F27" s="44">
        <v>-340332.68809239997</v>
      </c>
      <c r="G27" s="44" t="b">
        <v>0</v>
      </c>
      <c r="H27" s="83">
        <v>67.195818967206094</v>
      </c>
      <c r="I27" s="45">
        <v>483809.89656388387</v>
      </c>
      <c r="J27" s="44">
        <v>143477.2084714839</v>
      </c>
      <c r="K27" s="45">
        <v>2120987.192053685</v>
      </c>
      <c r="L27" s="44">
        <v>49437.749589555031</v>
      </c>
      <c r="M27" s="46">
        <v>2170424.9416432399</v>
      </c>
    </row>
    <row r="28" spans="1:13" s="48" customFormat="1" ht="18" customHeight="1" x14ac:dyDescent="0.3">
      <c r="A28" s="42">
        <v>2042</v>
      </c>
      <c r="B28" s="42">
        <v>16</v>
      </c>
      <c r="C28" s="46"/>
      <c r="D28" s="44">
        <v>0</v>
      </c>
      <c r="E28" s="45">
        <v>-350542.66873517202</v>
      </c>
      <c r="F28" s="44">
        <v>-350542.66873517202</v>
      </c>
      <c r="G28" s="44" t="b">
        <v>1</v>
      </c>
      <c r="H28" s="83">
        <v>77.898370830038218</v>
      </c>
      <c r="I28" s="45">
        <v>560868.26997627516</v>
      </c>
      <c r="J28" s="44">
        <v>210325.60124110314</v>
      </c>
      <c r="K28" s="45">
        <v>2331312.7932947883</v>
      </c>
      <c r="L28" s="44">
        <v>53024.679801342128</v>
      </c>
      <c r="M28" s="46">
        <v>2384337.4730961304</v>
      </c>
    </row>
    <row r="29" spans="1:13" s="48" customFormat="1" ht="18" customHeight="1" x14ac:dyDescent="0.3">
      <c r="A29" s="42">
        <v>2043</v>
      </c>
      <c r="B29" s="42">
        <v>17</v>
      </c>
      <c r="C29" s="46"/>
      <c r="D29" s="44">
        <v>0</v>
      </c>
      <c r="E29" s="45">
        <v>-361058.94879722712</v>
      </c>
      <c r="F29" s="44">
        <v>-361058.94879722712</v>
      </c>
      <c r="G29" s="44" t="b">
        <v>0</v>
      </c>
      <c r="H29" s="83">
        <v>77.898370830038218</v>
      </c>
      <c r="I29" s="45">
        <v>560868.26997627516</v>
      </c>
      <c r="J29" s="44">
        <v>199809.32117904804</v>
      </c>
      <c r="K29" s="45">
        <v>2531122.1144738365</v>
      </c>
      <c r="L29" s="44">
        <v>58282.819832369714</v>
      </c>
      <c r="M29" s="46">
        <v>2589404.9343062062</v>
      </c>
    </row>
    <row r="30" spans="1:13" s="48" customFormat="1" ht="18" customHeight="1" x14ac:dyDescent="0.3">
      <c r="A30" s="42">
        <v>2044</v>
      </c>
      <c r="B30" s="42">
        <v>18</v>
      </c>
      <c r="C30" s="46"/>
      <c r="D30" s="44">
        <v>0</v>
      </c>
      <c r="E30" s="45">
        <v>-371890.7172611439</v>
      </c>
      <c r="F30" s="44">
        <v>-371890.7172611439</v>
      </c>
      <c r="G30" s="44" t="b">
        <v>0</v>
      </c>
      <c r="H30" s="83">
        <v>77.898370830038218</v>
      </c>
      <c r="I30" s="45">
        <v>560868.26997627516</v>
      </c>
      <c r="J30" s="44">
        <v>188977.55271513126</v>
      </c>
      <c r="K30" s="45">
        <v>2720099.6671889676</v>
      </c>
      <c r="L30" s="44">
        <v>63278.052861845914</v>
      </c>
      <c r="M30" s="46">
        <v>2783377.7200508136</v>
      </c>
    </row>
    <row r="31" spans="1:13" s="48" customFormat="1" ht="18" customHeight="1" x14ac:dyDescent="0.3">
      <c r="A31" s="42">
        <v>2045</v>
      </c>
      <c r="B31" s="42">
        <v>19</v>
      </c>
      <c r="C31" s="46"/>
      <c r="D31" s="44">
        <v>0</v>
      </c>
      <c r="E31" s="45">
        <v>-383047.43877897825</v>
      </c>
      <c r="F31" s="44">
        <v>-383047.43877897825</v>
      </c>
      <c r="G31" s="44" t="b">
        <v>0</v>
      </c>
      <c r="H31" s="83">
        <v>77.898370830038218</v>
      </c>
      <c r="I31" s="45">
        <v>560868.26997627516</v>
      </c>
      <c r="J31" s="44">
        <v>177820.83119729691</v>
      </c>
      <c r="K31" s="45">
        <v>2897920.4983862643</v>
      </c>
      <c r="L31" s="44">
        <v>68002.491679724189</v>
      </c>
      <c r="M31" s="46">
        <v>2965922.9900659886</v>
      </c>
    </row>
    <row r="32" spans="1:13" s="48" customFormat="1" ht="18" customHeight="1" x14ac:dyDescent="0.3">
      <c r="A32" s="42">
        <v>2046</v>
      </c>
      <c r="B32" s="42">
        <v>20</v>
      </c>
      <c r="C32" s="46"/>
      <c r="D32" s="44">
        <v>0</v>
      </c>
      <c r="E32" s="45">
        <v>-394538.86194234755</v>
      </c>
      <c r="F32" s="44">
        <v>-394538.86194234755</v>
      </c>
      <c r="G32" s="44" t="b">
        <v>0</v>
      </c>
      <c r="H32" s="83">
        <v>77.898370830038218</v>
      </c>
      <c r="I32" s="45">
        <v>560868.26997627516</v>
      </c>
      <c r="J32" s="44">
        <v>166329.40803392761</v>
      </c>
      <c r="K32" s="45">
        <v>3064249.9064201917</v>
      </c>
      <c r="L32" s="44">
        <v>72448.012459656617</v>
      </c>
      <c r="M32" s="46">
        <v>3136697.9188798484</v>
      </c>
    </row>
    <row r="33" spans="1:13" s="48" customFormat="1" ht="18" customHeight="1" x14ac:dyDescent="0.3">
      <c r="A33" s="42">
        <v>2047</v>
      </c>
      <c r="B33" s="42">
        <v>21</v>
      </c>
      <c r="C33" s="46"/>
      <c r="D33" s="44">
        <v>0</v>
      </c>
      <c r="E33" s="45">
        <v>-406375.02780061797</v>
      </c>
      <c r="F33" s="44">
        <v>-406375.02780061797</v>
      </c>
      <c r="G33" s="44" t="b">
        <v>1</v>
      </c>
      <c r="H33" s="83">
        <v>90.305561733470668</v>
      </c>
      <c r="I33" s="45">
        <v>650200.04448098887</v>
      </c>
      <c r="J33" s="44">
        <v>243825.0166803709</v>
      </c>
      <c r="K33" s="45">
        <v>3308074.9231005628</v>
      </c>
      <c r="L33" s="44">
        <v>76606.2476605048</v>
      </c>
      <c r="M33" s="46">
        <v>3384681.1707610674</v>
      </c>
    </row>
    <row r="34" spans="1:13" s="48" customFormat="1" ht="18" customHeight="1" x14ac:dyDescent="0.3">
      <c r="A34" s="42">
        <v>2048</v>
      </c>
      <c r="B34" s="42">
        <v>22</v>
      </c>
      <c r="C34" s="46"/>
      <c r="D34" s="44">
        <v>0</v>
      </c>
      <c r="E34" s="45">
        <v>-418566.27863463649</v>
      </c>
      <c r="F34" s="44">
        <v>-418566.27863463649</v>
      </c>
      <c r="G34" s="44" t="b">
        <v>0</v>
      </c>
      <c r="H34" s="83">
        <v>90.305561733470668</v>
      </c>
      <c r="I34" s="45">
        <v>650200.04448098887</v>
      </c>
      <c r="J34" s="44">
        <v>231633.76584635238</v>
      </c>
      <c r="K34" s="45">
        <v>3539708.6889469153</v>
      </c>
      <c r="L34" s="44">
        <v>82701.873077514072</v>
      </c>
      <c r="M34" s="46">
        <v>3622410.5620244294</v>
      </c>
    </row>
    <row r="35" spans="1:13" s="48" customFormat="1" ht="18" customHeight="1" x14ac:dyDescent="0.3">
      <c r="A35" s="42">
        <v>2049</v>
      </c>
      <c r="B35" s="42">
        <v>23</v>
      </c>
      <c r="C35" s="46"/>
      <c r="D35" s="44">
        <v>0</v>
      </c>
      <c r="E35" s="45">
        <v>-431123.26699367561</v>
      </c>
      <c r="F35" s="44">
        <v>-431123.26699367561</v>
      </c>
      <c r="G35" s="44" t="b">
        <v>0</v>
      </c>
      <c r="H35" s="83">
        <v>90.305561733470668</v>
      </c>
      <c r="I35" s="45">
        <v>650200.04448098887</v>
      </c>
      <c r="J35" s="44">
        <v>219076.77748731326</v>
      </c>
      <c r="K35" s="45">
        <v>3758785.4664342287</v>
      </c>
      <c r="L35" s="44">
        <v>88492.717223672895</v>
      </c>
      <c r="M35" s="46">
        <v>3847278.1836579014</v>
      </c>
    </row>
    <row r="36" spans="1:13" s="48" customFormat="1" ht="18" customHeight="1" x14ac:dyDescent="0.3">
      <c r="A36" s="42">
        <v>2050</v>
      </c>
      <c r="B36" s="42">
        <v>24</v>
      </c>
      <c r="C36" s="46"/>
      <c r="D36" s="44">
        <v>0</v>
      </c>
      <c r="E36" s="45">
        <v>-444056.96500348591</v>
      </c>
      <c r="F36" s="44">
        <v>-444056.96500348591</v>
      </c>
      <c r="G36" s="44" t="b">
        <v>0</v>
      </c>
      <c r="H36" s="83">
        <v>90.305561733470668</v>
      </c>
      <c r="I36" s="45">
        <v>650200.04448098887</v>
      </c>
      <c r="J36" s="44">
        <v>206143.07947750296</v>
      </c>
      <c r="K36" s="45">
        <v>3964928.5459117317</v>
      </c>
      <c r="L36" s="44">
        <v>93969.636660855729</v>
      </c>
      <c r="M36" s="46">
        <v>4058898.1825725874</v>
      </c>
    </row>
    <row r="37" spans="1:13" s="48" customFormat="1" ht="18" customHeight="1" x14ac:dyDescent="0.3">
      <c r="A37" s="42">
        <v>2051</v>
      </c>
      <c r="B37" s="42">
        <v>25</v>
      </c>
      <c r="C37" s="46"/>
      <c r="D37" s="44">
        <v>0</v>
      </c>
      <c r="E37" s="45">
        <v>-457378.67395359039</v>
      </c>
      <c r="F37" s="44">
        <v>-457378.67395359039</v>
      </c>
      <c r="G37" s="44" t="b">
        <v>0</v>
      </c>
      <c r="H37" s="83">
        <v>90.305561733470668</v>
      </c>
      <c r="I37" s="45">
        <v>650200.04448098887</v>
      </c>
      <c r="J37" s="44">
        <v>192821.37052739848</v>
      </c>
      <c r="K37" s="45">
        <v>4157749.91643913</v>
      </c>
      <c r="L37" s="44">
        <v>99123.213647793295</v>
      </c>
      <c r="M37" s="46">
        <v>4256873.130086923</v>
      </c>
    </row>
    <row r="38" spans="1:13" s="48" customFormat="1" ht="18" customHeight="1" x14ac:dyDescent="0.3">
      <c r="A38" s="42">
        <v>2052</v>
      </c>
      <c r="B38" s="42">
        <v>26</v>
      </c>
      <c r="C38" s="46"/>
      <c r="D38" s="44">
        <v>0</v>
      </c>
      <c r="E38" s="45">
        <v>-471100.03417219809</v>
      </c>
      <c r="F38" s="44">
        <v>-471100.03417219809</v>
      </c>
      <c r="G38" s="44" t="b">
        <v>1</v>
      </c>
      <c r="H38" s="83">
        <v>104.68889648271069</v>
      </c>
      <c r="I38" s="45">
        <v>753760.05467551702</v>
      </c>
      <c r="J38" s="44">
        <v>282660.02050331893</v>
      </c>
      <c r="K38" s="45">
        <v>4440409.9369424488</v>
      </c>
      <c r="L38" s="44">
        <v>103943.74791097826</v>
      </c>
      <c r="M38" s="46">
        <v>4544353.6848534271</v>
      </c>
    </row>
    <row r="39" spans="1:13" s="48" customFormat="1" ht="18" customHeight="1" x14ac:dyDescent="0.3">
      <c r="A39" s="42">
        <v>2053</v>
      </c>
      <c r="B39" s="42">
        <v>27</v>
      </c>
      <c r="C39" s="46"/>
      <c r="D39" s="44">
        <v>0</v>
      </c>
      <c r="E39" s="45">
        <v>-485233.03519736411</v>
      </c>
      <c r="F39" s="44">
        <v>-485233.03519736411</v>
      </c>
      <c r="G39" s="44" t="b">
        <v>0</v>
      </c>
      <c r="H39" s="83">
        <v>104.68889648271069</v>
      </c>
      <c r="I39" s="45">
        <v>753760.05467551702</v>
      </c>
      <c r="J39" s="44">
        <v>268527.01947815291</v>
      </c>
      <c r="K39" s="45">
        <v>4708936.9564206013</v>
      </c>
      <c r="L39" s="44">
        <v>111010.24842356122</v>
      </c>
      <c r="M39" s="46">
        <v>4819947.2048441628</v>
      </c>
    </row>
    <row r="40" spans="1:13" s="48" customFormat="1" ht="18" customHeight="1" x14ac:dyDescent="0.3">
      <c r="A40" s="42">
        <v>2054</v>
      </c>
      <c r="B40" s="42">
        <v>28</v>
      </c>
      <c r="C40" s="46"/>
      <c r="D40" s="44">
        <v>0</v>
      </c>
      <c r="E40" s="45">
        <v>-499790.026253285</v>
      </c>
      <c r="F40" s="44">
        <v>-499790.026253285</v>
      </c>
      <c r="G40" s="44" t="b">
        <v>0</v>
      </c>
      <c r="H40" s="83">
        <v>104.68889648271069</v>
      </c>
      <c r="I40" s="45">
        <v>753760.05467551702</v>
      </c>
      <c r="J40" s="44">
        <v>253970.02842223202</v>
      </c>
      <c r="K40" s="45">
        <v>4962906.9848428331</v>
      </c>
      <c r="L40" s="44">
        <v>117723.42391051503</v>
      </c>
      <c r="M40" s="46">
        <v>5080630.4087533485</v>
      </c>
    </row>
    <row r="41" spans="1:13" s="48" customFormat="1" ht="18" customHeight="1" x14ac:dyDescent="0.3">
      <c r="A41" s="42">
        <v>2055</v>
      </c>
      <c r="B41" s="42">
        <v>29</v>
      </c>
      <c r="C41" s="46"/>
      <c r="D41" s="44">
        <v>0</v>
      </c>
      <c r="E41" s="45">
        <v>-514783.72704088356</v>
      </c>
      <c r="F41" s="44">
        <v>-514783.72704088356</v>
      </c>
      <c r="G41" s="44" t="b">
        <v>0</v>
      </c>
      <c r="H41" s="83">
        <v>104.68889648271069</v>
      </c>
      <c r="I41" s="45">
        <v>753760.05467551702</v>
      </c>
      <c r="J41" s="44">
        <v>238976.32763463346</v>
      </c>
      <c r="K41" s="45">
        <v>5201883.3124774667</v>
      </c>
      <c r="L41" s="44">
        <v>124072.67462107084</v>
      </c>
      <c r="M41" s="46">
        <v>5325955.9870985374</v>
      </c>
    </row>
    <row r="42" spans="1:13" s="48" customFormat="1" ht="18" customHeight="1" x14ac:dyDescent="0.3">
      <c r="A42" s="42">
        <v>2056</v>
      </c>
      <c r="B42" s="42">
        <v>30</v>
      </c>
      <c r="C42" s="46"/>
      <c r="D42" s="44">
        <v>0</v>
      </c>
      <c r="E42" s="45">
        <v>-530227.23885210999</v>
      </c>
      <c r="F42" s="44">
        <v>-530227.23885210999</v>
      </c>
      <c r="G42" s="44" t="b">
        <v>0</v>
      </c>
      <c r="H42" s="83">
        <v>104.68889648271069</v>
      </c>
      <c r="I42" s="45">
        <v>753760.05467551702</v>
      </c>
      <c r="J42" s="44">
        <v>223532.81582340703</v>
      </c>
      <c r="K42" s="45">
        <v>5425416.1283008736</v>
      </c>
      <c r="L42" s="44">
        <v>130047.08281193668</v>
      </c>
      <c r="M42" s="46">
        <v>5555463.2111128103</v>
      </c>
    </row>
    <row r="43" spans="1:13" s="48" customFormat="1" ht="18" customHeight="1" x14ac:dyDescent="0.3">
      <c r="A43" s="42">
        <v>2057</v>
      </c>
      <c r="B43" s="42">
        <v>31</v>
      </c>
      <c r="C43" s="46"/>
      <c r="D43" s="44">
        <v>0</v>
      </c>
      <c r="E43" s="45">
        <v>-546134.05601767334</v>
      </c>
      <c r="F43" s="44">
        <v>-546134.05601767334</v>
      </c>
      <c r="G43" s="44" t="b">
        <v>1</v>
      </c>
      <c r="H43" s="83">
        <v>121.36312355948296</v>
      </c>
      <c r="I43" s="45">
        <v>873814.48962827725</v>
      </c>
      <c r="J43" s="44">
        <v>327680.43361060391</v>
      </c>
      <c r="K43" s="45">
        <v>5753096.5619114777</v>
      </c>
      <c r="L43" s="44">
        <v>135635.40320752186</v>
      </c>
      <c r="M43" s="46">
        <v>5888731.9651189996</v>
      </c>
    </row>
    <row r="44" spans="1:13" s="48" customFormat="1" ht="18" customHeight="1" x14ac:dyDescent="0.3">
      <c r="A44" s="42">
        <v>2058</v>
      </c>
      <c r="B44" s="42">
        <v>32</v>
      </c>
      <c r="C44" s="46"/>
      <c r="D44" s="44">
        <v>0</v>
      </c>
      <c r="E44" s="45">
        <v>-562518.07769820362</v>
      </c>
      <c r="F44" s="44">
        <v>-562518.07769820362</v>
      </c>
      <c r="G44" s="44" t="b">
        <v>0</v>
      </c>
      <c r="H44" s="83">
        <v>121.36312355948296</v>
      </c>
      <c r="I44" s="45">
        <v>873814.48962827725</v>
      </c>
      <c r="J44" s="44">
        <v>311296.41193007363</v>
      </c>
      <c r="K44" s="45">
        <v>6064392.9738415517</v>
      </c>
      <c r="L44" s="44">
        <v>143827.41404778694</v>
      </c>
      <c r="M44" s="46">
        <v>6208220.3878893387</v>
      </c>
    </row>
    <row r="45" spans="1:13" s="48" customFormat="1" ht="18" customHeight="1" x14ac:dyDescent="0.3">
      <c r="A45" s="42">
        <v>2059</v>
      </c>
      <c r="B45" s="42">
        <v>33</v>
      </c>
      <c r="C45" s="46"/>
      <c r="D45" s="44">
        <v>0</v>
      </c>
      <c r="E45" s="45">
        <v>-579393.62002914958</v>
      </c>
      <c r="F45" s="44">
        <v>-579393.62002914958</v>
      </c>
      <c r="G45" s="44" t="b">
        <v>0</v>
      </c>
      <c r="H45" s="83">
        <v>121.36312355948296</v>
      </c>
      <c r="I45" s="45">
        <v>873814.48962827725</v>
      </c>
      <c r="J45" s="44">
        <v>294420.86959912768</v>
      </c>
      <c r="K45" s="45">
        <v>6358813.8434406798</v>
      </c>
      <c r="L45" s="44">
        <v>151609.8243460388</v>
      </c>
      <c r="M45" s="46">
        <v>6510423.6677867183</v>
      </c>
    </row>
    <row r="46" spans="1:13" s="48" customFormat="1" ht="18" customHeight="1" x14ac:dyDescent="0.3">
      <c r="A46" s="42">
        <v>2060</v>
      </c>
      <c r="B46" s="42">
        <v>34</v>
      </c>
      <c r="C46" s="46"/>
      <c r="D46" s="44">
        <v>0</v>
      </c>
      <c r="E46" s="45">
        <v>-596775.42863002408</v>
      </c>
      <c r="F46" s="44">
        <v>-596775.42863002408</v>
      </c>
      <c r="G46" s="44" t="b">
        <v>0</v>
      </c>
      <c r="H46" s="83">
        <v>121.36312355948296</v>
      </c>
      <c r="I46" s="45">
        <v>873814.48962827725</v>
      </c>
      <c r="J46" s="44">
        <v>277039.06099825318</v>
      </c>
      <c r="K46" s="45">
        <v>6635852.9044389334</v>
      </c>
      <c r="L46" s="44">
        <v>158970.346086017</v>
      </c>
      <c r="M46" s="46">
        <v>6794823.2505249502</v>
      </c>
    </row>
    <row r="47" spans="1:13" s="48" customFormat="1" ht="18" customHeight="1" x14ac:dyDescent="0.3">
      <c r="A47" s="42">
        <v>2061</v>
      </c>
      <c r="B47" s="42">
        <v>35</v>
      </c>
      <c r="C47" s="46"/>
      <c r="D47" s="44">
        <v>0</v>
      </c>
      <c r="E47" s="45">
        <v>-614678.69148892467</v>
      </c>
      <c r="F47" s="44">
        <v>-614678.69148892467</v>
      </c>
      <c r="G47" s="44" t="b">
        <v>0</v>
      </c>
      <c r="H47" s="83">
        <v>121.36312355948296</v>
      </c>
      <c r="I47" s="45">
        <v>873814.48962827725</v>
      </c>
      <c r="J47" s="44">
        <v>259135.79813935258</v>
      </c>
      <c r="K47" s="45">
        <v>6894988.7025782857</v>
      </c>
      <c r="L47" s="44">
        <v>165896.32261097335</v>
      </c>
      <c r="M47" s="46">
        <v>7060885.0251892591</v>
      </c>
    </row>
    <row r="48" spans="1:13" s="48" customFormat="1" ht="18" customHeight="1" x14ac:dyDescent="0.3">
      <c r="A48" s="42">
        <v>2062</v>
      </c>
      <c r="B48" s="42">
        <v>36</v>
      </c>
      <c r="C48" s="46"/>
      <c r="D48" s="44">
        <v>0</v>
      </c>
      <c r="E48" s="45">
        <v>-633119.05223359261</v>
      </c>
      <c r="F48" s="44">
        <v>-633119.05223359261</v>
      </c>
      <c r="G48" s="44" t="b">
        <v>1</v>
      </c>
      <c r="H48" s="83">
        <v>140.69312271857612</v>
      </c>
      <c r="I48" s="45">
        <v>1012990.4835737481</v>
      </c>
      <c r="J48" s="44">
        <v>379871.43134015554</v>
      </c>
      <c r="K48" s="45">
        <v>7274860.1339184409</v>
      </c>
      <c r="L48" s="44">
        <v>172374.71756445715</v>
      </c>
      <c r="M48" s="46">
        <v>7447234.851482898</v>
      </c>
    </row>
    <row r="49" spans="1:13" s="48" customFormat="1" ht="18" customHeight="1" x14ac:dyDescent="0.3">
      <c r="A49" s="42">
        <v>2063</v>
      </c>
      <c r="B49" s="42">
        <v>37</v>
      </c>
      <c r="C49" s="46"/>
      <c r="D49" s="44">
        <v>0</v>
      </c>
      <c r="E49" s="45">
        <v>-652112.6238006003</v>
      </c>
      <c r="F49" s="44">
        <v>-652112.6238006003</v>
      </c>
      <c r="G49" s="44" t="b">
        <v>0</v>
      </c>
      <c r="H49" s="83">
        <v>140.69312271857612</v>
      </c>
      <c r="I49" s="45">
        <v>1012990.4835737481</v>
      </c>
      <c r="J49" s="44">
        <v>360877.85977314785</v>
      </c>
      <c r="K49" s="45">
        <v>7635737.9936915888</v>
      </c>
      <c r="L49" s="44">
        <v>181871.50334796103</v>
      </c>
      <c r="M49" s="46">
        <v>7817609.49703955</v>
      </c>
    </row>
    <row r="50" spans="1:13" s="48" customFormat="1" ht="18" customHeight="1" x14ac:dyDescent="0.3">
      <c r="A50" s="42">
        <v>2064</v>
      </c>
      <c r="B50" s="42">
        <v>38</v>
      </c>
      <c r="C50" s="46"/>
      <c r="D50" s="44">
        <v>0</v>
      </c>
      <c r="E50" s="45">
        <v>-671676.00251461822</v>
      </c>
      <c r="F50" s="44">
        <v>-671676.00251461822</v>
      </c>
      <c r="G50" s="44" t="b">
        <v>0</v>
      </c>
      <c r="H50" s="83">
        <v>140.69312271857612</v>
      </c>
      <c r="I50" s="45">
        <v>1012990.4835737481</v>
      </c>
      <c r="J50" s="44">
        <v>341314.48105912993</v>
      </c>
      <c r="K50" s="45">
        <v>7977052.474750719</v>
      </c>
      <c r="L50" s="44">
        <v>190893.44984228973</v>
      </c>
      <c r="M50" s="46">
        <v>8167945.9245930091</v>
      </c>
    </row>
    <row r="51" spans="1:13" s="48" customFormat="1" ht="18" customHeight="1" x14ac:dyDescent="0.3">
      <c r="A51" s="42">
        <v>2065</v>
      </c>
      <c r="B51" s="42">
        <v>39</v>
      </c>
      <c r="C51" s="46"/>
      <c r="D51" s="44">
        <v>0</v>
      </c>
      <c r="E51" s="45">
        <v>-691826.28259005677</v>
      </c>
      <c r="F51" s="44">
        <v>-691826.28259005677</v>
      </c>
      <c r="G51" s="44" t="b">
        <v>0</v>
      </c>
      <c r="H51" s="83">
        <v>140.69312271857612</v>
      </c>
      <c r="I51" s="45">
        <v>1012990.4835737481</v>
      </c>
      <c r="J51" s="44">
        <v>321164.20098369138</v>
      </c>
      <c r="K51" s="45">
        <v>8298216.6757344101</v>
      </c>
      <c r="L51" s="44">
        <v>199426.31186876798</v>
      </c>
      <c r="M51" s="46">
        <v>8497642.9876031782</v>
      </c>
    </row>
    <row r="52" spans="1:13" s="48" customFormat="1" ht="18" customHeight="1" x14ac:dyDescent="0.3">
      <c r="A52" s="42">
        <v>2066</v>
      </c>
      <c r="B52" s="42">
        <v>40</v>
      </c>
      <c r="C52" s="46"/>
      <c r="D52" s="44">
        <v>0</v>
      </c>
      <c r="E52" s="45">
        <v>-712581.0710677586</v>
      </c>
      <c r="F52" s="44">
        <v>-712581.0710677586</v>
      </c>
      <c r="G52" s="44" t="b">
        <v>0</v>
      </c>
      <c r="H52" s="83">
        <v>140.69312271857612</v>
      </c>
      <c r="I52" s="45">
        <v>1012990.4835737481</v>
      </c>
      <c r="J52" s="44">
        <v>300409.41250598955</v>
      </c>
      <c r="K52" s="45">
        <v>8598626.0882404</v>
      </c>
      <c r="L52" s="44">
        <v>207455.41689336026</v>
      </c>
      <c r="M52" s="46">
        <v>8806081.5051337611</v>
      </c>
    </row>
    <row r="53" spans="1:13" s="48" customFormat="1" ht="18" customHeight="1" x14ac:dyDescent="0.3">
      <c r="A53" s="42">
        <v>2067</v>
      </c>
      <c r="B53" s="42">
        <v>41</v>
      </c>
      <c r="C53" s="46"/>
      <c r="D53" s="44">
        <v>0</v>
      </c>
      <c r="E53" s="45">
        <v>-733958.50319979119</v>
      </c>
      <c r="F53" s="44">
        <v>-733958.50319979119</v>
      </c>
      <c r="G53" s="44" t="b">
        <v>1</v>
      </c>
      <c r="H53" s="83">
        <v>163.10188959995361</v>
      </c>
      <c r="I53" s="45">
        <v>1174333.6051196661</v>
      </c>
      <c r="J53" s="44">
        <v>440375.1019198749</v>
      </c>
      <c r="K53" s="45">
        <v>9039001.1901602745</v>
      </c>
      <c r="L53" s="44">
        <v>214965.65220601001</v>
      </c>
      <c r="M53" s="46">
        <v>9253966.8423662838</v>
      </c>
    </row>
    <row r="54" spans="1:13" s="48" customFormat="1" ht="18" customHeight="1" x14ac:dyDescent="0.3">
      <c r="A54" s="42">
        <v>2068</v>
      </c>
      <c r="B54" s="42">
        <v>42</v>
      </c>
      <c r="C54" s="46"/>
      <c r="D54" s="44">
        <v>0</v>
      </c>
      <c r="E54" s="45">
        <v>-755977.25829578494</v>
      </c>
      <c r="F54" s="44">
        <v>-755977.25829578494</v>
      </c>
      <c r="G54" s="44" t="b">
        <v>0</v>
      </c>
      <c r="H54" s="83">
        <v>163.10188959995361</v>
      </c>
      <c r="I54" s="45">
        <v>1174333.6051196661</v>
      </c>
      <c r="J54" s="44">
        <v>418356.34682388115</v>
      </c>
      <c r="K54" s="45">
        <v>9457357.536984155</v>
      </c>
      <c r="L54" s="44">
        <v>225975.02975400689</v>
      </c>
      <c r="M54" s="46">
        <v>9683332.5667381622</v>
      </c>
    </row>
    <row r="55" spans="1:13" s="48" customFormat="1" ht="18" customHeight="1" x14ac:dyDescent="0.3">
      <c r="A55" s="42">
        <v>2069</v>
      </c>
      <c r="B55" s="42">
        <v>43</v>
      </c>
      <c r="C55" s="46"/>
      <c r="D55" s="44">
        <v>0</v>
      </c>
      <c r="E55" s="45">
        <v>-778656.57604465855</v>
      </c>
      <c r="F55" s="44">
        <v>-778656.57604465855</v>
      </c>
      <c r="G55" s="44" t="b">
        <v>0</v>
      </c>
      <c r="H55" s="83">
        <v>163.10188959995361</v>
      </c>
      <c r="I55" s="45">
        <v>1174333.6051196661</v>
      </c>
      <c r="J55" s="44">
        <v>395677.02907500754</v>
      </c>
      <c r="K55" s="45">
        <v>9853034.5660591628</v>
      </c>
      <c r="L55" s="44">
        <v>236433.9384246039</v>
      </c>
      <c r="M55" s="46">
        <v>10089468.504483767</v>
      </c>
    </row>
    <row r="56" spans="1:13" s="48" customFormat="1" ht="18" customHeight="1" x14ac:dyDescent="0.3">
      <c r="A56" s="42">
        <v>2070</v>
      </c>
      <c r="B56" s="42">
        <v>44</v>
      </c>
      <c r="C56" s="46"/>
      <c r="D56" s="44">
        <v>0</v>
      </c>
      <c r="E56" s="45">
        <v>-802016.27332599834</v>
      </c>
      <c r="F56" s="44">
        <v>-802016.27332599834</v>
      </c>
      <c r="G56" s="44" t="b">
        <v>0</v>
      </c>
      <c r="H56" s="83">
        <v>163.10188959995361</v>
      </c>
      <c r="I56" s="45">
        <v>1174333.6051196661</v>
      </c>
      <c r="J56" s="44">
        <v>372317.33179366775</v>
      </c>
      <c r="K56" s="45">
        <v>10225351.897852831</v>
      </c>
      <c r="L56" s="44">
        <v>246325.86415147909</v>
      </c>
      <c r="M56" s="46">
        <v>10471677.76200431</v>
      </c>
    </row>
    <row r="57" spans="1:13" s="48" customFormat="1" ht="18" customHeight="1" x14ac:dyDescent="0.3">
      <c r="A57" s="42">
        <v>2071</v>
      </c>
      <c r="B57" s="42">
        <v>45</v>
      </c>
      <c r="C57" s="46"/>
      <c r="D57" s="44">
        <v>0</v>
      </c>
      <c r="E57" s="45">
        <v>-826076.76152577822</v>
      </c>
      <c r="F57" s="44">
        <v>-826076.76152577822</v>
      </c>
      <c r="G57" s="44" t="b">
        <v>0</v>
      </c>
      <c r="H57" s="83">
        <v>163.10188959995361</v>
      </c>
      <c r="I57" s="45">
        <v>1174333.6051196661</v>
      </c>
      <c r="J57" s="44">
        <v>348256.84359388787</v>
      </c>
      <c r="K57" s="45">
        <v>10573608.741446719</v>
      </c>
      <c r="L57" s="44">
        <v>255633.79744632076</v>
      </c>
      <c r="M57" s="46">
        <v>10829242.53889304</v>
      </c>
    </row>
    <row r="58" spans="1:13" s="48" customFormat="1" ht="18" customHeight="1" x14ac:dyDescent="0.3">
      <c r="A58" s="42">
        <v>2072</v>
      </c>
      <c r="B58" s="42">
        <v>46</v>
      </c>
      <c r="C58" s="46"/>
      <c r="D58" s="44">
        <v>0</v>
      </c>
      <c r="E58" s="45">
        <v>-850859.0643715515</v>
      </c>
      <c r="F58" s="44">
        <v>-850859.0643715515</v>
      </c>
      <c r="G58" s="44" t="b">
        <v>1</v>
      </c>
      <c r="H58" s="83">
        <v>189.079792082567</v>
      </c>
      <c r="I58" s="45">
        <v>1361374.5029944824</v>
      </c>
      <c r="J58" s="44">
        <v>510515.4386229309</v>
      </c>
      <c r="K58" s="45">
        <v>11084124.18006965</v>
      </c>
      <c r="L58" s="44">
        <v>264340.21853616799</v>
      </c>
      <c r="M58" s="46">
        <v>11348464.398605818</v>
      </c>
    </row>
    <row r="59" spans="1:13" s="48" customFormat="1" ht="18" customHeight="1" x14ac:dyDescent="0.3">
      <c r="A59" s="42">
        <v>2073</v>
      </c>
      <c r="B59" s="42">
        <v>47</v>
      </c>
      <c r="C59" s="46"/>
      <c r="D59" s="44">
        <v>0</v>
      </c>
      <c r="E59" s="45">
        <v>-876384.83630269801</v>
      </c>
      <c r="F59" s="44">
        <v>-876384.83630269801</v>
      </c>
      <c r="G59" s="44" t="b">
        <v>0</v>
      </c>
      <c r="H59" s="83">
        <v>189.079792082567</v>
      </c>
      <c r="I59" s="45">
        <v>1361374.5029944824</v>
      </c>
      <c r="J59" s="44">
        <v>484989.6666917844</v>
      </c>
      <c r="K59" s="45">
        <v>11569113.846761433</v>
      </c>
      <c r="L59" s="44">
        <v>277103.10450174124</v>
      </c>
      <c r="M59" s="46">
        <v>11846216.951263174</v>
      </c>
    </row>
    <row r="60" spans="1:13" s="48" customFormat="1" ht="18" customHeight="1" x14ac:dyDescent="0.3">
      <c r="A60" s="42">
        <v>2074</v>
      </c>
      <c r="B60" s="42">
        <v>48</v>
      </c>
      <c r="C60" s="46"/>
      <c r="D60" s="44">
        <v>0</v>
      </c>
      <c r="E60" s="45">
        <v>-902676.38139177905</v>
      </c>
      <c r="F60" s="44">
        <v>-902676.38139177905</v>
      </c>
      <c r="G60" s="44" t="b">
        <v>0</v>
      </c>
      <c r="H60" s="83">
        <v>189.079792082567</v>
      </c>
      <c r="I60" s="45">
        <v>1361374.5029944824</v>
      </c>
      <c r="J60" s="44">
        <v>458698.12160270335</v>
      </c>
      <c r="K60" s="45">
        <v>12027811.968364136</v>
      </c>
      <c r="L60" s="44">
        <v>289227.84616903582</v>
      </c>
      <c r="M60" s="46">
        <v>12317039.814533172</v>
      </c>
    </row>
    <row r="61" spans="1:13" s="48" customFormat="1" ht="18" customHeight="1" x14ac:dyDescent="0.3">
      <c r="A61" s="42">
        <v>2075</v>
      </c>
      <c r="B61" s="42">
        <v>49</v>
      </c>
      <c r="C61" s="46"/>
      <c r="D61" s="44">
        <v>0</v>
      </c>
      <c r="E61" s="45">
        <v>-929756.67283353233</v>
      </c>
      <c r="F61" s="44">
        <v>-929756.67283353233</v>
      </c>
      <c r="G61" s="44" t="b">
        <v>0</v>
      </c>
      <c r="H61" s="83">
        <v>189.079792082567</v>
      </c>
      <c r="I61" s="45">
        <v>1361374.5029944824</v>
      </c>
      <c r="J61" s="44">
        <v>431617.83016095008</v>
      </c>
      <c r="K61" s="45">
        <v>12459429.798525086</v>
      </c>
      <c r="L61" s="44">
        <v>300695.2992091034</v>
      </c>
      <c r="M61" s="46">
        <v>12760125.097734189</v>
      </c>
    </row>
    <row r="62" spans="1:13" s="48" customFormat="1" ht="18" customHeight="1" x14ac:dyDescent="0.3">
      <c r="A62" s="42">
        <v>2076</v>
      </c>
      <c r="B62" s="42">
        <v>50</v>
      </c>
      <c r="C62" s="46" t="s">
        <v>79</v>
      </c>
      <c r="D62" s="44">
        <v>-844593.54425940523</v>
      </c>
      <c r="E62" s="45">
        <v>-957649.37301853823</v>
      </c>
      <c r="F62" s="44">
        <v>-1802242.9172779433</v>
      </c>
      <c r="G62" s="44" t="b">
        <v>0</v>
      </c>
      <c r="H62" s="83">
        <v>189.079792082567</v>
      </c>
      <c r="I62" s="45">
        <v>1361374.5029944824</v>
      </c>
      <c r="J62" s="44">
        <v>-440868.41428346094</v>
      </c>
      <c r="K62" s="45">
        <v>12018561.384241626</v>
      </c>
      <c r="L62" s="44">
        <v>311485.74496312713</v>
      </c>
      <c r="M62" s="46">
        <v>12330047.129204752</v>
      </c>
    </row>
    <row r="63" spans="1:13" s="48" customFormat="1" ht="18" customHeight="1" x14ac:dyDescent="0.3">
      <c r="A63" s="42">
        <v>2077</v>
      </c>
      <c r="B63" s="42">
        <v>51</v>
      </c>
      <c r="C63" s="46"/>
      <c r="D63" s="44">
        <v>0</v>
      </c>
      <c r="E63" s="45">
        <v>-986378.85420909442</v>
      </c>
      <c r="F63" s="44">
        <v>-986378.85420909442</v>
      </c>
      <c r="G63" s="44" t="b">
        <v>1</v>
      </c>
      <c r="H63" s="83">
        <v>219.19530093535431</v>
      </c>
      <c r="I63" s="45">
        <v>1578206.1667345511</v>
      </c>
      <c r="J63" s="44">
        <v>591827.31252545665</v>
      </c>
      <c r="K63" s="45">
        <v>12610388.696767082</v>
      </c>
      <c r="L63" s="44">
        <v>300464.03460604063</v>
      </c>
      <c r="M63" s="46">
        <v>12910852.731373124</v>
      </c>
    </row>
    <row r="64" spans="1:13" s="48" customFormat="1" ht="18" customHeight="1" x14ac:dyDescent="0.3">
      <c r="A64" s="42">
        <v>2078</v>
      </c>
      <c r="B64" s="42">
        <v>52</v>
      </c>
      <c r="C64" s="46"/>
      <c r="D64" s="44">
        <v>0</v>
      </c>
      <c r="E64" s="45">
        <v>-1015970.2198353673</v>
      </c>
      <c r="F64" s="44">
        <v>-1015970.2198353673</v>
      </c>
      <c r="G64" s="44" t="b">
        <v>0</v>
      </c>
      <c r="H64" s="83">
        <v>219.19530093535431</v>
      </c>
      <c r="I64" s="45">
        <v>1578206.1667345511</v>
      </c>
      <c r="J64" s="44">
        <v>562235.94689918379</v>
      </c>
      <c r="K64" s="45">
        <v>13172624.643666266</v>
      </c>
      <c r="L64" s="44">
        <v>315259.71741917706</v>
      </c>
      <c r="M64" s="46">
        <v>13487884.361085443</v>
      </c>
    </row>
    <row r="65" spans="1:13" s="48" customFormat="1" ht="18" customHeight="1" x14ac:dyDescent="0.3">
      <c r="A65" s="42">
        <v>2079</v>
      </c>
      <c r="B65" s="42">
        <v>53</v>
      </c>
      <c r="C65" s="46" t="s">
        <v>73</v>
      </c>
      <c r="D65" s="44">
        <v>-1083865.7034576852</v>
      </c>
      <c r="E65" s="45">
        <v>-1046449.3264304283</v>
      </c>
      <c r="F65" s="44">
        <v>-2130315.0298881135</v>
      </c>
      <c r="G65" s="44" t="b">
        <v>0</v>
      </c>
      <c r="H65" s="83">
        <v>219.19530093535431</v>
      </c>
      <c r="I65" s="45">
        <v>1578206.1667345511</v>
      </c>
      <c r="J65" s="44">
        <v>-552108.86315356242</v>
      </c>
      <c r="K65" s="45">
        <v>12620515.780512704</v>
      </c>
      <c r="L65" s="44">
        <v>329315.61609165667</v>
      </c>
      <c r="M65" s="46">
        <v>12949831.396604361</v>
      </c>
    </row>
    <row r="66" spans="1:13" s="48" customFormat="1" ht="18" customHeight="1" x14ac:dyDescent="0.3">
      <c r="A66" s="42">
        <v>2080</v>
      </c>
      <c r="B66" s="42">
        <v>54</v>
      </c>
      <c r="C66" s="46"/>
      <c r="D66" s="44">
        <v>0</v>
      </c>
      <c r="E66" s="45">
        <v>-1077842.8062233408</v>
      </c>
      <c r="F66" s="44">
        <v>-1077842.8062233408</v>
      </c>
      <c r="G66" s="44" t="b">
        <v>0</v>
      </c>
      <c r="H66" s="83">
        <v>219.19530093535431</v>
      </c>
      <c r="I66" s="45">
        <v>1578206.1667345511</v>
      </c>
      <c r="J66" s="44">
        <v>500363.36051121028</v>
      </c>
      <c r="K66" s="45">
        <v>13120879.141023913</v>
      </c>
      <c r="L66" s="44">
        <v>315512.89451281761</v>
      </c>
      <c r="M66" s="46">
        <v>13436392.035536731</v>
      </c>
    </row>
    <row r="67" spans="1:13" s="48" customFormat="1" ht="18" customHeight="1" x14ac:dyDescent="0.3">
      <c r="A67" s="42">
        <v>2081</v>
      </c>
      <c r="B67" s="42">
        <v>55</v>
      </c>
      <c r="C67" s="46" t="s">
        <v>80</v>
      </c>
      <c r="D67" s="44">
        <v>-1043345.3693673568</v>
      </c>
      <c r="E67" s="45">
        <v>-1110178.0904100414</v>
      </c>
      <c r="F67" s="44">
        <v>-2153523.459777398</v>
      </c>
      <c r="G67" s="44" t="b">
        <v>0</v>
      </c>
      <c r="H67" s="83">
        <v>219.19530093535431</v>
      </c>
      <c r="I67" s="45">
        <v>1578206.1667345511</v>
      </c>
      <c r="J67" s="44">
        <v>-575317.29304284696</v>
      </c>
      <c r="K67" s="45">
        <v>12545561.847981066</v>
      </c>
      <c r="L67" s="44">
        <v>328021.97852559783</v>
      </c>
      <c r="M67" s="46">
        <v>12873583.826506663</v>
      </c>
    </row>
    <row r="68" spans="1:13" s="48" customFormat="1" ht="18" customHeight="1" x14ac:dyDescent="0.3">
      <c r="A68" s="42">
        <v>2082</v>
      </c>
      <c r="B68" s="42">
        <v>56</v>
      </c>
      <c r="C68" s="46"/>
      <c r="D68" s="44">
        <v>0</v>
      </c>
      <c r="E68" s="45">
        <v>-1143483.4331223427</v>
      </c>
      <c r="F68" s="44">
        <v>-1143483.4331223427</v>
      </c>
      <c r="G68" s="44" t="b">
        <v>1</v>
      </c>
      <c r="H68" s="83">
        <v>254.10742958274278</v>
      </c>
      <c r="I68" s="45">
        <v>1829573.4929957481</v>
      </c>
      <c r="J68" s="44">
        <v>686090.05987340538</v>
      </c>
      <c r="K68" s="45">
        <v>13231651.907854471</v>
      </c>
      <c r="L68" s="44">
        <v>313639.04619952664</v>
      </c>
      <c r="M68" s="46">
        <v>13545290.954053998</v>
      </c>
    </row>
    <row r="69" spans="1:13" s="48" customFormat="1" ht="18" customHeight="1" x14ac:dyDescent="0.3">
      <c r="A69" s="42">
        <v>2083</v>
      </c>
      <c r="B69" s="42">
        <v>57</v>
      </c>
      <c r="C69" s="46"/>
      <c r="D69" s="44">
        <v>0</v>
      </c>
      <c r="E69" s="45">
        <v>-1177787.9361160125</v>
      </c>
      <c r="F69" s="44">
        <v>-1177787.9361160125</v>
      </c>
      <c r="G69" s="44" t="b">
        <v>0</v>
      </c>
      <c r="H69" s="83">
        <v>254.10742958274278</v>
      </c>
      <c r="I69" s="45">
        <v>1829573.4929957481</v>
      </c>
      <c r="J69" s="44">
        <v>651785.55687973555</v>
      </c>
      <c r="K69" s="45">
        <v>13883437.464734208</v>
      </c>
      <c r="L69" s="44">
        <v>330791.29769636178</v>
      </c>
      <c r="M69" s="46">
        <v>14214228.762430569</v>
      </c>
    </row>
    <row r="70" spans="1:13" s="48" customFormat="1" ht="18" customHeight="1" x14ac:dyDescent="0.3">
      <c r="A70" s="42">
        <v>2084</v>
      </c>
      <c r="B70" s="42">
        <v>58</v>
      </c>
      <c r="C70" s="46"/>
      <c r="D70" s="44">
        <v>0</v>
      </c>
      <c r="E70" s="45">
        <v>-1213121.574199493</v>
      </c>
      <c r="F70" s="44">
        <v>-1213121.574199493</v>
      </c>
      <c r="G70" s="44" t="b">
        <v>0</v>
      </c>
      <c r="H70" s="83">
        <v>254.10742958274278</v>
      </c>
      <c r="I70" s="45">
        <v>1829573.4929957481</v>
      </c>
      <c r="J70" s="44">
        <v>616451.91879625502</v>
      </c>
      <c r="K70" s="45">
        <v>14499889.383530462</v>
      </c>
      <c r="L70" s="44">
        <v>347085.93661835522</v>
      </c>
      <c r="M70" s="46">
        <v>14846975.320148818</v>
      </c>
    </row>
    <row r="71" spans="1:13" s="48" customFormat="1" ht="18" customHeight="1" x14ac:dyDescent="0.3">
      <c r="A71" s="42">
        <v>2085</v>
      </c>
      <c r="B71" s="42">
        <v>59</v>
      </c>
      <c r="C71" s="46"/>
      <c r="D71" s="44">
        <v>0</v>
      </c>
      <c r="E71" s="45">
        <v>-1249515.2214254779</v>
      </c>
      <c r="F71" s="44">
        <v>-1249515.2214254779</v>
      </c>
      <c r="G71" s="44" t="b">
        <v>0</v>
      </c>
      <c r="H71" s="83">
        <v>254.10742958274278</v>
      </c>
      <c r="I71" s="45">
        <v>1829573.4929957481</v>
      </c>
      <c r="J71" s="44">
        <v>580058.27157027018</v>
      </c>
      <c r="K71" s="45">
        <v>15079947.655100733</v>
      </c>
      <c r="L71" s="44">
        <v>362497.23458826158</v>
      </c>
      <c r="M71" s="46">
        <v>15442444.889688995</v>
      </c>
    </row>
    <row r="72" spans="1:13" s="48" customFormat="1" ht="18" customHeight="1" x14ac:dyDescent="0.3">
      <c r="A72" s="42">
        <v>2086</v>
      </c>
      <c r="B72" s="42">
        <v>60</v>
      </c>
      <c r="C72" s="46"/>
      <c r="D72" s="44">
        <v>0</v>
      </c>
      <c r="E72" s="45">
        <v>-1287000.6780682423</v>
      </c>
      <c r="F72" s="44">
        <v>-1287000.6780682423</v>
      </c>
      <c r="G72" s="44" t="b">
        <v>0</v>
      </c>
      <c r="H72" s="83">
        <v>254.10742958274278</v>
      </c>
      <c r="I72" s="45">
        <v>1829573.4929957481</v>
      </c>
      <c r="J72" s="44">
        <v>542572.81492750579</v>
      </c>
      <c r="K72" s="45">
        <v>15622520.470028238</v>
      </c>
      <c r="L72" s="44">
        <v>376998.69137751835</v>
      </c>
      <c r="M72" s="46">
        <v>15999519.161405757</v>
      </c>
    </row>
    <row r="73" spans="1:13" ht="18" customHeight="1" x14ac:dyDescent="0.3">
      <c r="A73"/>
      <c r="B73"/>
      <c r="D73"/>
      <c r="E73"/>
      <c r="F73"/>
      <c r="G73"/>
      <c r="H73" s="81"/>
      <c r="I73"/>
      <c r="J73"/>
      <c r="K73"/>
      <c r="L73"/>
    </row>
    <row r="74" spans="1:13" ht="18" customHeight="1" x14ac:dyDescent="0.3">
      <c r="A74"/>
      <c r="B74"/>
      <c r="D74"/>
      <c r="E74"/>
      <c r="F74"/>
      <c r="G74"/>
      <c r="H74" s="81"/>
      <c r="I74"/>
      <c r="J74"/>
      <c r="K74"/>
      <c r="L74"/>
    </row>
    <row r="75" spans="1:13" ht="18" customHeight="1" x14ac:dyDescent="0.3">
      <c r="A75"/>
      <c r="B75"/>
      <c r="D75"/>
      <c r="E75"/>
      <c r="F75"/>
      <c r="G75"/>
      <c r="H75" s="81"/>
      <c r="I75"/>
      <c r="J75"/>
      <c r="K75"/>
      <c r="L75"/>
    </row>
    <row r="76" spans="1:13" ht="18" customHeight="1" x14ac:dyDescent="0.3">
      <c r="A76"/>
      <c r="B76"/>
      <c r="D76"/>
      <c r="E76"/>
      <c r="F76"/>
      <c r="G76"/>
      <c r="H76" s="81"/>
      <c r="I76"/>
      <c r="J76"/>
      <c r="K76"/>
      <c r="L76"/>
    </row>
    <row r="77" spans="1:13" ht="18" customHeight="1" x14ac:dyDescent="0.3">
      <c r="A77"/>
      <c r="B77"/>
      <c r="D77"/>
      <c r="E77"/>
      <c r="F77"/>
      <c r="G77"/>
      <c r="H77" s="81"/>
      <c r="I77"/>
      <c r="J77"/>
      <c r="K77"/>
      <c r="L77"/>
    </row>
    <row r="78" spans="1:13" ht="18" customHeight="1" x14ac:dyDescent="0.3">
      <c r="A78"/>
      <c r="B78"/>
      <c r="D78"/>
      <c r="E78"/>
      <c r="F78"/>
      <c r="G78"/>
      <c r="H78" s="81"/>
      <c r="I78"/>
      <c r="J78"/>
      <c r="K78"/>
      <c r="L78"/>
    </row>
    <row r="79" spans="1:13" ht="18" customHeight="1" x14ac:dyDescent="0.3">
      <c r="A79"/>
      <c r="B79"/>
      <c r="D79"/>
      <c r="E79"/>
      <c r="F79"/>
      <c r="G79"/>
      <c r="H79" s="81"/>
      <c r="I79"/>
      <c r="J79"/>
      <c r="K79"/>
      <c r="L79"/>
    </row>
    <row r="80" spans="1:13" ht="18" customHeight="1" x14ac:dyDescent="0.3">
      <c r="A80"/>
      <c r="B80"/>
      <c r="D80"/>
      <c r="E80"/>
      <c r="F80"/>
      <c r="G80"/>
      <c r="H80" s="81"/>
      <c r="I80"/>
      <c r="J80"/>
      <c r="K80"/>
      <c r="L80"/>
    </row>
    <row r="81" spans="1:12" ht="18" customHeight="1" x14ac:dyDescent="0.3">
      <c r="A81"/>
      <c r="B81"/>
      <c r="D81"/>
      <c r="E81"/>
      <c r="F81"/>
      <c r="G81"/>
      <c r="H81" s="81"/>
      <c r="I81"/>
      <c r="J81"/>
      <c r="K81"/>
      <c r="L81"/>
    </row>
    <row r="82" spans="1:12" ht="18" customHeight="1" x14ac:dyDescent="0.3">
      <c r="A82"/>
      <c r="B82"/>
      <c r="D82"/>
      <c r="E82"/>
      <c r="F82"/>
      <c r="G82"/>
      <c r="H82" s="81"/>
      <c r="I82"/>
      <c r="J82"/>
      <c r="K82"/>
      <c r="L82"/>
    </row>
    <row r="83" spans="1:12" ht="18" customHeight="1" x14ac:dyDescent="0.3">
      <c r="A83"/>
      <c r="B83"/>
      <c r="D83"/>
      <c r="E83"/>
      <c r="F83"/>
      <c r="G83"/>
      <c r="H83" s="81"/>
      <c r="I83"/>
      <c r="J83"/>
      <c r="K83"/>
      <c r="L83"/>
    </row>
    <row r="84" spans="1:12" ht="18" customHeight="1" x14ac:dyDescent="0.3">
      <c r="A84"/>
      <c r="B84"/>
      <c r="D84"/>
      <c r="E84"/>
      <c r="F84"/>
      <c r="G84"/>
      <c r="H84" s="81"/>
      <c r="I84"/>
      <c r="J84"/>
      <c r="K84"/>
      <c r="L84"/>
    </row>
    <row r="85" spans="1:12" ht="18" customHeight="1" x14ac:dyDescent="0.3">
      <c r="A85"/>
      <c r="B85"/>
      <c r="D85"/>
      <c r="E85"/>
      <c r="F85"/>
      <c r="G85"/>
      <c r="H85" s="81"/>
      <c r="I85"/>
      <c r="J85"/>
      <c r="K85"/>
      <c r="L85"/>
    </row>
    <row r="86" spans="1:12" ht="18" customHeight="1" x14ac:dyDescent="0.3">
      <c r="A86"/>
      <c r="B86"/>
      <c r="D86"/>
      <c r="E86"/>
      <c r="F86"/>
      <c r="G86"/>
      <c r="H86" s="81"/>
      <c r="I86"/>
      <c r="J86"/>
      <c r="K86"/>
      <c r="L86"/>
    </row>
    <row r="87" spans="1:12" ht="18" customHeight="1" x14ac:dyDescent="0.3">
      <c r="A87"/>
      <c r="B87"/>
      <c r="D87"/>
      <c r="E87"/>
      <c r="F87"/>
      <c r="G87"/>
      <c r="H87" s="81"/>
      <c r="I87"/>
      <c r="J87"/>
      <c r="K87"/>
      <c r="L87"/>
    </row>
  </sheetData>
  <mergeCells count="1">
    <mergeCell ref="A12:B12"/>
  </mergeCells>
  <pageMargins left="1" right="1" top="0" bottom="1" header="0" footer="0.5"/>
  <pageSetup paperSize="3" orientation="landscape" r:id="rId1"/>
  <headerFooter>
    <oddFooter>&amp;L&amp;Z&amp;F&amp;RPage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299B8C-EF0F-4750-A161-DED62D7C66F6}">
          <x14:formula1>
            <xm:f>Links!$B:$B</xm:f>
          </x14:formula1>
          <xm:sqref>C13:C72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Source Data</vt:lpstr>
      <vt:lpstr>Project Estimates</vt:lpstr>
      <vt:lpstr>Potable Rate Model</vt:lpstr>
      <vt:lpstr>Irrigation Rate Model</vt:lpstr>
      <vt:lpstr>Links</vt:lpstr>
      <vt:lpstr>Bulk Rate Calculations</vt:lpstr>
      <vt:lpstr>'Project Estimates'!Print_Area</vt:lpstr>
      <vt:lpstr>'Bulk Rate Calculations'!Print_Titles</vt:lpstr>
      <vt:lpstr>'Irrigation Rate Model'!Print_Titles</vt:lpstr>
      <vt:lpstr>'Potable Rate Model'!Print_Titles</vt:lpstr>
      <vt:lpstr>'Project Estimates'!Print_Titles</vt:lpstr>
      <vt:lpstr>'Source Data'!Print_Titles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Prettyman</dc:creator>
  <cp:lastModifiedBy>Joshua Prettyman</cp:lastModifiedBy>
  <cp:lastPrinted>2026-07-16T13:56:01Z</cp:lastPrinted>
  <dcterms:created xsi:type="dcterms:W3CDTF">2026-06-05T22:11:17Z</dcterms:created>
  <dcterms:modified xsi:type="dcterms:W3CDTF">2026-07-16T14:46:30Z</dcterms:modified>
</cp:coreProperties>
</file>