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sumptions" sheetId="1" r:id="rId4"/>
    <sheet state="visible" name="Comparison" sheetId="2" r:id="rId5"/>
    <sheet state="visible" name="Assumptions (Tax-Exempt)" sheetId="3" r:id="rId6"/>
    <sheet state="visible" name="Comparison (Tax-Exempt)" sheetId="4" r:id="rId7"/>
  </sheets>
  <definedNames/>
  <calcPr/>
  <extLst>
    <ext uri="GoogleSheetsCustomDataVersion2">
      <go:sheetsCustomData xmlns:go="http://customooxmlschemas.google.com/" r:id="rId8" roundtripDataChecksum="oHL6ih+L+UPpwMAXr0i9ZYV92pZ//S9zBxsOPAIKb4c="/>
    </ext>
  </extLst>
</workbook>
</file>

<file path=xl/sharedStrings.xml><?xml version="1.0" encoding="utf-8"?>
<sst xmlns="http://schemas.openxmlformats.org/spreadsheetml/2006/main" count="94" uniqueCount="55">
  <si>
    <t>Ranches Academy — Voice Services Quote Comparison</t>
  </si>
  <si>
    <t>SCENARIO 1: Standard (taxable) — blue = hardcoded input from quotes provided</t>
  </si>
  <si>
    <t>Item</t>
  </si>
  <si>
    <t>ETS Corp</t>
  </si>
  <si>
    <t>Les Olson IT</t>
  </si>
  <si>
    <t>RingCentral</t>
  </si>
  <si>
    <t>Notes / Source</t>
  </si>
  <si>
    <t>One-Time Cost (Equipment &amp; Installation)</t>
  </si>
  <si>
    <t>ETS: quote subtotal 32x T31P + setup labor, adjusted for 32 handsets. Les Olson: LNP porting + phone + shipping + one-time tax, from quote. RingCentral: no one-time cost listed on quote.</t>
  </si>
  <si>
    <t>Monthly Service Cost (base, pre-tax)</t>
  </si>
  <si>
    <t>ETS: monthly recurring total from quote (32 phones). Les Olson: Educator Bundle + Archiving + Monthly Fees, pre-tax. RingCentral: DigitalLine Unlimited Advanced + Poly Edge rental, pre-tax.</t>
  </si>
  <si>
    <t>Monthly Tax/Surcharge Rate (ETS)</t>
  </si>
  <si>
    <t>Estimated tax/surcharge rate for ETS SIP service, per user instruction (based on comparable non-exempt SIP bill: $199 tax / $883 = 22.5%).</t>
  </si>
  <si>
    <t>Monthly Taxes &amp; Surcharges ($)</t>
  </si>
  <si>
    <t>ETS: calculated (base x rate above). Les Olson: 'Estimated Monthly Taxes' line from quote. RingCentral: 'Recurring Taxes &amp; Fees Total' from quote (Sales Tax, Gross Receipts, FUSF, E-911, State USF, e911 fee, Compliance/Admin fee).</t>
  </si>
  <si>
    <t>Monthly Total (service + tax/fees)</t>
  </si>
  <si>
    <t>Quoted Initial Contract Term (months)</t>
  </si>
  <si>
    <t>ETS: 3-year initial term. Les Olson: term not stated on quote (assumed month-to-month). RingCentral: 24-month initial term, 24-month renewal, per quote.</t>
  </si>
  <si>
    <t>Key modeling assumptions:</t>
  </si>
  <si>
    <t>1. All monthly rates held flat for the full 72-month period (no annual escalation applied), since none of the three quotes specify a built-in increase.</t>
  </si>
  <si>
    <t>2. One-time equipment/installation costs are charged once, in Month 1 only, for ETS and Les Olson. RingCentral's quote shows $0 one-time cost (equipment is bundled into the monthly rate — an OpEx model).</t>
  </si>
  <si>
    <t>3. This scenario assumes Ranches Academy is NOT tax-exempt — all quoted/estimated taxes and surcharges are included as-is for all three providers.</t>
  </si>
  <si>
    <t>4. Les Olson and RingCentral figures are taken directly from their quotes as provided (already inclusive of estimated taxes/fees).</t>
  </si>
  <si>
    <t>5. Renewal-term pricing (months 37-72) is assumed to continue at the same monthly rate as the initial term for all three providers, since no vendor quote specifies renewal pricing.</t>
  </si>
  <si>
    <t>Ranches Academy — 72-Month Voice Services Cost Comparison</t>
  </si>
  <si>
    <t>SCENARIO 1: Standard (taxable). See 'Assumptions' tab for inputs and sources.</t>
  </si>
  <si>
    <t>YEARS 1–3 (Months 1–36)</t>
  </si>
  <si>
    <t>One-Time Cost (Equipment/Install)</t>
  </si>
  <si>
    <t>Monthly Recurring x 36 months</t>
  </si>
  <si>
    <t>Total Cost — Years 1–3</t>
  </si>
  <si>
    <t>YEARS 4–6 (Months 37–72, renewal term)</t>
  </si>
  <si>
    <t>Additional One-Time Cost</t>
  </si>
  <si>
    <t>Total Cost — Years 4–6</t>
  </si>
  <si>
    <t>72-MONTH GRAND TOTAL (Months 1–72)</t>
  </si>
  <si>
    <t>Total 72-Month Cost</t>
  </si>
  <si>
    <t>Effective Average Monthly Cost (72-mo total / 72)</t>
  </si>
  <si>
    <t>ETS SAVINGS vs. OTHER PROVIDERS</t>
  </si>
  <si>
    <t>vs Les Olson</t>
  </si>
  <si>
    <t>vs RingCentral</t>
  </si>
  <si>
    <t>Savings — Years 1–3</t>
  </si>
  <si>
    <t>Savings — Years 4–6</t>
  </si>
  <si>
    <t>Savings — 72-Month Total</t>
  </si>
  <si>
    <t>Savings — 72-Month Total (%)</t>
  </si>
  <si>
    <t>SCENARIO 2: Tax-Exempt — blue = hardcoded input; assumes confirmed exemption on file with each vendor</t>
  </si>
  <si>
    <t>ETS: unchanged (no sales tax was applied to one-time equipment in the standard scenario). Les Olson: original $118.64 minus the $10.44 one-time tax line, assuming exemption removes it. RingCentral: unchanged, $0 quoted.</t>
  </si>
  <si>
    <t>Unchanged from Standard scenario. Note: Les Olson's $79.68 'Monthly Fees' line is a carrier/regulatory service fee, not a sales tax, so it remains in the base cost even under tax-exempt status.</t>
  </si>
  <si>
    <t>Per user instruction: assumes ETS charges NO surcharges/taxes once Ranches Academy's tax-exempt status is on file. NOTE: in practice, flat per-line regulatory fees (e.g., state E-911 fee) may still apply even when sales tax is exempted — confirm with ETS billing before finalizing.</t>
  </si>
  <si>
    <t>ETS: $0, per assumption above. Les Olson: 'Estimated Monthly Taxes' ($21.77) removed, assuming tax-exempt status eliminates this line. RingCentral: UNCHANGED — user did not request a RingCentral adjustment. Note several RingCentral line items (E-911, Compliance/Admin fee) are regulatory fees, not sales tax, and would likely still apply even if exempt — flag this before presenting.</t>
  </si>
  <si>
    <t>Same as Standard scenario.</t>
  </si>
  <si>
    <t>1. This scenario assumes Ranches Academy's charter-school tax-exempt status is confirmed and on file with each vendor.</t>
  </si>
  <si>
    <t>2. ETS: all monthly surcharges/taxes removed entirely per user instruction. One-time equipment cost unchanged (no sales tax was modeled on it originally).</t>
  </si>
  <si>
    <t>3. Les Olson: the $21.77 'Estimated Monthly Taxes' and $10.44 one-time tax lines are removed. The $79.68 'Monthly Fees' line is KEPT — it is a distinct carrier/service fee on the quote, not a sales tax, so a tax exemption would not waive it.</t>
  </si>
  <si>
    <t>4. RingCentral: left UNCHANGED in this scenario, since the user's request specifically called out ETS and Les Olson only. If Ranches Academy is tax-exempt, some RingCentral line items (Sales Tax NF, Statutory Gross Receipts NF, State USF) may also be reducible, but per-line regulatory fees (E-911, Compliance &amp; Administrative Cost Recovery Fee) would likely still apply — worth a follow-up if a like-for-like exempt comparison is needed.</t>
  </si>
  <si>
    <t>5. All other modeling assumptions (flat rates over 72 months, one-time costs in Month 1 only, no renewal escalation) are unchanged from the Standard scenario.</t>
  </si>
  <si>
    <t>SCENARIO 2: Tax-Exempt. See 'Assumptions (Tax-Exempt)' tab for inputs and sources.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</si>
</sst>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$#,##0.00;&quot;($&quot;#,##0.00\);\-"/>
    <numFmt numFmtId="165" formatCode="0.0%"/>
  </numFmts>
  <fonts count="11">
    <font>
      <sz val="11.0"/>
      <color theme="1"/>
      <name val="Calibri"/>
      <scheme val="minor"/>
    </font>
    <font>
      <b/>
      <sz val="14.0"/>
      <color rgb="FF1F4E78"/>
      <name val="Arial"/>
    </font>
    <font>
      <i/>
      <sz val="10.0"/>
      <color rgb="FF404040"/>
      <name val="Arial"/>
    </font>
    <font>
      <b/>
      <sz val="11.0"/>
      <color rgb="FFFFFFFF"/>
      <name val="Arial"/>
    </font>
    <font>
      <sz val="10.0"/>
      <color rgb="FF000000"/>
      <name val="Arial"/>
    </font>
    <font>
      <sz val="10.0"/>
      <color rgb="FF0000FF"/>
      <name val="Arial"/>
    </font>
    <font>
      <i/>
      <sz val="8.0"/>
      <color theme="1"/>
      <name val="Arial"/>
    </font>
    <font>
      <b/>
      <sz val="10.0"/>
      <color rgb="FF000000"/>
      <name val="Arial"/>
    </font>
    <font>
      <sz val="11.0"/>
      <color theme="1"/>
      <name val="Calibri"/>
    </font>
    <font>
      <color theme="1"/>
      <name val="Calibri"/>
      <scheme val="minor"/>
    </font>
    <font>
      <i/>
      <sz val="9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DCE6F1"/>
        <bgColor rgb="FFDCE6F1"/>
      </patternFill>
    </fill>
    <fill>
      <patternFill patternType="solid">
        <fgColor rgb="FFFFF2CC"/>
        <bgColor rgb="FFFFF2CC"/>
      </patternFill>
    </fill>
  </fills>
  <borders count="3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1" fillId="0" fontId="5" numFmtId="164" xfId="0" applyAlignment="1" applyBorder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1" fillId="0" fontId="5" numFmtId="165" xfId="0" applyAlignment="1" applyBorder="1" applyFont="1" applyNumberFormat="1">
      <alignment shrinkToFit="0" vertical="bottom" wrapText="0"/>
    </xf>
    <xf borderId="1" fillId="0" fontId="4" numFmtId="164" xfId="0" applyAlignment="1" applyBorder="1" applyFont="1" applyNumberFormat="1">
      <alignment shrinkToFit="0" vertical="bottom" wrapText="0"/>
    </xf>
    <xf borderId="2" fillId="3" fontId="7" numFmtId="0" xfId="0" applyAlignment="1" applyBorder="1" applyFill="1" applyFont="1">
      <alignment shrinkToFit="0" vertical="bottom" wrapText="0"/>
    </xf>
    <xf borderId="1" fillId="3" fontId="7" numFmtId="164" xfId="0" applyAlignment="1" applyBorder="1" applyFont="1" applyNumberFormat="1">
      <alignment shrinkToFit="0" vertical="bottom" wrapText="0"/>
    </xf>
    <xf borderId="2" fillId="3" fontId="8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shrinkToFit="0" vertical="bottom" wrapText="0"/>
    </xf>
    <xf borderId="0" fillId="0" fontId="9" numFmtId="164" xfId="0" applyFont="1" applyNumberFormat="1"/>
    <xf borderId="0" fillId="0" fontId="7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1" fillId="3" fontId="7" numFmtId="0" xfId="0" applyAlignment="1" applyBorder="1" applyFont="1">
      <alignment shrinkToFit="0" vertical="bottom" wrapText="0"/>
    </xf>
    <xf borderId="1" fillId="3" fontId="8" numFmtId="0" xfId="0" applyAlignment="1" applyBorder="1" applyFont="1">
      <alignment shrinkToFit="0" vertical="bottom" wrapText="0"/>
    </xf>
    <xf borderId="2" fillId="4" fontId="7" numFmtId="0" xfId="0" applyAlignment="1" applyBorder="1" applyFill="1" applyFont="1">
      <alignment shrinkToFit="0" vertical="bottom" wrapText="0"/>
    </xf>
    <xf borderId="1" fillId="4" fontId="7" numFmtId="164" xfId="0" applyAlignment="1" applyBorder="1" applyFont="1" applyNumberForma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1" fillId="0" fontId="10" numFmtId="164" xfId="0" applyAlignment="1" applyBorder="1" applyFont="1" applyNumberFormat="1">
      <alignment shrinkToFit="0" vertical="bottom" wrapText="0"/>
    </xf>
    <xf borderId="1" fillId="0" fontId="10" numFmtId="165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8.0"/>
    <col customWidth="1" min="2" max="4" width="18.0"/>
    <col customWidth="1" min="5" max="5" width="50.0"/>
    <col customWidth="1" min="6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</row>
    <row r="5">
      <c r="A5" s="5" t="s">
        <v>7</v>
      </c>
      <c r="B5" s="6">
        <v>8057.0</v>
      </c>
      <c r="C5" s="6">
        <v>118.64</v>
      </c>
      <c r="D5" s="6">
        <v>0.0</v>
      </c>
      <c r="E5" s="7" t="s">
        <v>8</v>
      </c>
    </row>
    <row r="6">
      <c r="A6" s="5" t="s">
        <v>9</v>
      </c>
      <c r="B6" s="6">
        <v>298.2</v>
      </c>
      <c r="C6" s="6">
        <v>463.68</v>
      </c>
      <c r="D6" s="6">
        <v>352.0</v>
      </c>
      <c r="E6" s="7" t="s">
        <v>10</v>
      </c>
    </row>
    <row r="7">
      <c r="A7" s="5" t="s">
        <v>11</v>
      </c>
      <c r="B7" s="8">
        <v>0.225</v>
      </c>
      <c r="E7" s="7" t="s">
        <v>12</v>
      </c>
    </row>
    <row r="8">
      <c r="A8" s="5" t="s">
        <v>13</v>
      </c>
      <c r="B8" s="9">
        <f>B6*B7</f>
        <v>67.095</v>
      </c>
      <c r="C8" s="6">
        <v>21.77</v>
      </c>
      <c r="D8" s="6">
        <v>313.87</v>
      </c>
      <c r="E8" s="7" t="s">
        <v>14</v>
      </c>
    </row>
    <row r="9">
      <c r="A9" s="10" t="s">
        <v>15</v>
      </c>
      <c r="B9" s="11">
        <f t="shared" ref="B9:D9" si="1">B6+B8</f>
        <v>365.295</v>
      </c>
      <c r="C9" s="11">
        <f t="shared" si="1"/>
        <v>485.45</v>
      </c>
      <c r="D9" s="11">
        <f t="shared" si="1"/>
        <v>665.87</v>
      </c>
      <c r="E9" s="12"/>
    </row>
    <row r="10">
      <c r="A10" s="5" t="s">
        <v>16</v>
      </c>
      <c r="B10" s="13">
        <v>36.0</v>
      </c>
      <c r="C10" s="13"/>
      <c r="D10" s="13">
        <v>24.0</v>
      </c>
      <c r="E10" s="7" t="s">
        <v>17</v>
      </c>
    </row>
    <row r="11">
      <c r="B11" s="14">
        <f t="shared" ref="B11:D11" si="2">36*B9+B5</f>
        <v>21207.62</v>
      </c>
      <c r="C11" s="14">
        <f t="shared" si="2"/>
        <v>17594.84</v>
      </c>
      <c r="D11" s="14">
        <f t="shared" si="2"/>
        <v>23971.32</v>
      </c>
    </row>
    <row r="12">
      <c r="A12" s="15"/>
      <c r="B12" s="14">
        <f t="shared" ref="B12:D12" si="3">60*B9+B5</f>
        <v>29974.7</v>
      </c>
      <c r="C12" s="14">
        <f t="shared" si="3"/>
        <v>29245.64</v>
      </c>
      <c r="D12" s="14">
        <f t="shared" si="3"/>
        <v>39952.2</v>
      </c>
    </row>
    <row r="13">
      <c r="A13" s="15" t="s">
        <v>18</v>
      </c>
    </row>
    <row r="14" ht="27.75" customHeight="1">
      <c r="A14" s="16" t="s">
        <v>19</v>
      </c>
    </row>
    <row r="15" ht="27.75" customHeight="1">
      <c r="A15" s="16" t="s">
        <v>20</v>
      </c>
    </row>
    <row r="16" ht="27.75" customHeight="1">
      <c r="A16" s="16" t="s">
        <v>21</v>
      </c>
    </row>
    <row r="17" ht="27.75" customHeight="1">
      <c r="A17" s="16" t="s">
        <v>22</v>
      </c>
    </row>
    <row r="18" ht="27.75" customHeight="1">
      <c r="A18" s="16" t="s">
        <v>23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">
    <mergeCell ref="A14:E14"/>
    <mergeCell ref="A15:E15"/>
    <mergeCell ref="A16:E16"/>
    <mergeCell ref="A17:E17"/>
    <mergeCell ref="A18:E18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0.0"/>
    <col customWidth="1" min="2" max="4" width="20.0"/>
    <col customWidth="1" min="5" max="26" width="8.71"/>
  </cols>
  <sheetData>
    <row r="1">
      <c r="A1" s="1" t="s">
        <v>24</v>
      </c>
    </row>
    <row r="2">
      <c r="A2" s="2" t="s">
        <v>25</v>
      </c>
    </row>
    <row r="4">
      <c r="A4" s="3"/>
      <c r="B4" s="3" t="s">
        <v>3</v>
      </c>
      <c r="C4" s="3" t="s">
        <v>4</v>
      </c>
      <c r="D4" s="3" t="s">
        <v>5</v>
      </c>
    </row>
    <row r="5">
      <c r="A5" s="17" t="s">
        <v>26</v>
      </c>
      <c r="B5" s="18"/>
      <c r="C5" s="18"/>
      <c r="D5" s="18"/>
    </row>
    <row r="6">
      <c r="A6" s="5" t="s">
        <v>27</v>
      </c>
      <c r="B6" s="9">
        <f>Assumptions!B5</f>
        <v>8057</v>
      </c>
      <c r="C6" s="9">
        <f>Assumptions!C5</f>
        <v>118.64</v>
      </c>
      <c r="D6" s="9">
        <f>Assumptions!D5</f>
        <v>0</v>
      </c>
    </row>
    <row r="7">
      <c r="A7" s="5" t="s">
        <v>28</v>
      </c>
      <c r="B7" s="9">
        <f>Assumptions!B9*36</f>
        <v>13150.62</v>
      </c>
      <c r="C7" s="9">
        <f>Assumptions!C9*36</f>
        <v>17476.2</v>
      </c>
      <c r="D7" s="9">
        <f>Assumptions!D9*36</f>
        <v>23971.32</v>
      </c>
    </row>
    <row r="8">
      <c r="A8" s="19" t="s">
        <v>29</v>
      </c>
      <c r="B8" s="20">
        <f t="shared" ref="B8:D8" si="1">B6+B7</f>
        <v>21207.62</v>
      </c>
      <c r="C8" s="20">
        <f t="shared" si="1"/>
        <v>17594.84</v>
      </c>
      <c r="D8" s="20">
        <f t="shared" si="1"/>
        <v>23971.32</v>
      </c>
    </row>
    <row r="10">
      <c r="A10" s="17" t="s">
        <v>30</v>
      </c>
      <c r="B10" s="18"/>
      <c r="C10" s="18"/>
      <c r="D10" s="18"/>
    </row>
    <row r="11">
      <c r="A11" s="16" t="s">
        <v>31</v>
      </c>
      <c r="B11" s="9">
        <v>0.0</v>
      </c>
      <c r="C11" s="9">
        <v>0.0</v>
      </c>
      <c r="D11" s="9">
        <v>0.0</v>
      </c>
    </row>
    <row r="12">
      <c r="A12" s="5" t="s">
        <v>28</v>
      </c>
      <c r="B12" s="9">
        <f>Assumptions!B9*36</f>
        <v>13150.62</v>
      </c>
      <c r="C12" s="9">
        <f>Assumptions!C9*36</f>
        <v>17476.2</v>
      </c>
      <c r="D12" s="9">
        <f>Assumptions!D9*36</f>
        <v>23971.32</v>
      </c>
    </row>
    <row r="13">
      <c r="A13" s="19" t="s">
        <v>32</v>
      </c>
      <c r="B13" s="20">
        <f t="shared" ref="B13:D13" si="2">B11+B12</f>
        <v>13150.62</v>
      </c>
      <c r="C13" s="20">
        <f t="shared" si="2"/>
        <v>17476.2</v>
      </c>
      <c r="D13" s="20">
        <f t="shared" si="2"/>
        <v>23971.32</v>
      </c>
    </row>
    <row r="15">
      <c r="A15" s="21" t="s">
        <v>33</v>
      </c>
      <c r="B15" s="21"/>
      <c r="C15" s="21"/>
      <c r="D15" s="21"/>
    </row>
    <row r="16">
      <c r="A16" s="19" t="s">
        <v>34</v>
      </c>
      <c r="B16" s="20">
        <f t="shared" ref="B16:D16" si="3">B8+B13</f>
        <v>34358.24</v>
      </c>
      <c r="C16" s="20">
        <f t="shared" si="3"/>
        <v>35071.04</v>
      </c>
      <c r="D16" s="20">
        <f t="shared" si="3"/>
        <v>47942.64</v>
      </c>
    </row>
    <row r="17">
      <c r="A17" s="16" t="s">
        <v>35</v>
      </c>
      <c r="B17" s="22">
        <f t="shared" ref="B17:D17" si="4">B16/72</f>
        <v>477.1977778</v>
      </c>
      <c r="C17" s="22">
        <f t="shared" si="4"/>
        <v>487.0977778</v>
      </c>
      <c r="D17" s="22">
        <f t="shared" si="4"/>
        <v>665.87</v>
      </c>
    </row>
    <row r="19">
      <c r="A19" s="17" t="s">
        <v>36</v>
      </c>
      <c r="B19" s="18"/>
      <c r="C19" s="17" t="s">
        <v>37</v>
      </c>
      <c r="D19" s="17" t="s">
        <v>38</v>
      </c>
    </row>
    <row r="20">
      <c r="A20" s="5" t="s">
        <v>39</v>
      </c>
      <c r="C20" s="9">
        <f>C8-B8</f>
        <v>-3612.78</v>
      </c>
      <c r="D20" s="9">
        <f>D8-B8</f>
        <v>2763.7</v>
      </c>
    </row>
    <row r="21" ht="15.75" customHeight="1">
      <c r="A21" s="5" t="s">
        <v>40</v>
      </c>
      <c r="C21" s="9">
        <f>C13-B13</f>
        <v>4325.58</v>
      </c>
      <c r="D21" s="9">
        <f>D13-B13</f>
        <v>10820.7</v>
      </c>
    </row>
    <row r="22" ht="15.75" customHeight="1">
      <c r="A22" s="19" t="s">
        <v>41</v>
      </c>
      <c r="C22" s="20">
        <f>C16-B16</f>
        <v>712.8</v>
      </c>
      <c r="D22" s="20">
        <f>D16-B16</f>
        <v>13584.4</v>
      </c>
    </row>
    <row r="23" ht="15.75" customHeight="1">
      <c r="A23" s="16" t="s">
        <v>42</v>
      </c>
      <c r="C23" s="23">
        <f t="shared" ref="C23:D23" si="5">C22/C16</f>
        <v>0.02032446144</v>
      </c>
      <c r="D23" s="23">
        <f t="shared" si="5"/>
        <v>0.2833469329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8.0"/>
    <col customWidth="1" min="2" max="4" width="18.0"/>
    <col customWidth="1" min="5" max="5" width="50.0"/>
    <col customWidth="1" min="6" max="26" width="8.71"/>
  </cols>
  <sheetData>
    <row r="1">
      <c r="A1" s="1" t="s">
        <v>0</v>
      </c>
    </row>
    <row r="2">
      <c r="A2" s="2" t="s">
        <v>43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</row>
    <row r="5">
      <c r="A5" s="5" t="s">
        <v>7</v>
      </c>
      <c r="B5" s="6">
        <v>8057.0</v>
      </c>
      <c r="C5" s="6">
        <v>108.2</v>
      </c>
      <c r="D5" s="6">
        <v>0.0</v>
      </c>
      <c r="E5" s="7" t="s">
        <v>44</v>
      </c>
    </row>
    <row r="6">
      <c r="A6" s="5" t="s">
        <v>9</v>
      </c>
      <c r="B6" s="6">
        <v>298.2</v>
      </c>
      <c r="C6" s="6">
        <v>463.68</v>
      </c>
      <c r="D6" s="6">
        <v>352.0</v>
      </c>
      <c r="E6" s="7" t="s">
        <v>45</v>
      </c>
    </row>
    <row r="7">
      <c r="A7" s="5" t="s">
        <v>11</v>
      </c>
      <c r="B7" s="8">
        <v>0.0</v>
      </c>
      <c r="E7" s="7" t="s">
        <v>46</v>
      </c>
    </row>
    <row r="8">
      <c r="A8" s="5" t="s">
        <v>13</v>
      </c>
      <c r="B8" s="9">
        <f>B6*B7</f>
        <v>0</v>
      </c>
      <c r="C8" s="6">
        <v>0.0</v>
      </c>
      <c r="D8" s="6">
        <v>313.87</v>
      </c>
      <c r="E8" s="7" t="s">
        <v>47</v>
      </c>
    </row>
    <row r="9">
      <c r="A9" s="10" t="s">
        <v>15</v>
      </c>
      <c r="B9" s="11">
        <f t="shared" ref="B9:D9" si="1">B6+B8</f>
        <v>298.2</v>
      </c>
      <c r="C9" s="11">
        <f t="shared" si="1"/>
        <v>463.68</v>
      </c>
      <c r="D9" s="11">
        <f t="shared" si="1"/>
        <v>665.87</v>
      </c>
      <c r="E9" s="12"/>
    </row>
    <row r="10">
      <c r="A10" s="5" t="s">
        <v>16</v>
      </c>
      <c r="B10" s="13">
        <v>36.0</v>
      </c>
      <c r="C10" s="13"/>
      <c r="D10" s="13">
        <v>24.0</v>
      </c>
      <c r="E10" s="7" t="s">
        <v>48</v>
      </c>
    </row>
    <row r="12">
      <c r="A12" s="15" t="s">
        <v>18</v>
      </c>
    </row>
    <row r="13" ht="27.75" customHeight="1">
      <c r="A13" s="16" t="s">
        <v>49</v>
      </c>
    </row>
    <row r="14" ht="27.75" customHeight="1">
      <c r="A14" s="16" t="s">
        <v>50</v>
      </c>
    </row>
    <row r="15" ht="27.75" customHeight="1">
      <c r="A15" s="16" t="s">
        <v>51</v>
      </c>
    </row>
    <row r="16" ht="27.75" customHeight="1">
      <c r="A16" s="16" t="s">
        <v>52</v>
      </c>
    </row>
    <row r="17" ht="27.75" customHeight="1">
      <c r="A17" s="16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3:E13"/>
    <mergeCell ref="A14:E14"/>
    <mergeCell ref="A15:E15"/>
    <mergeCell ref="A16:E16"/>
    <mergeCell ref="A17:E17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0.0"/>
    <col customWidth="1" min="2" max="4" width="20.0"/>
    <col customWidth="1" min="5" max="26" width="8.71"/>
  </cols>
  <sheetData>
    <row r="1">
      <c r="A1" s="1" t="s">
        <v>24</v>
      </c>
    </row>
    <row r="2">
      <c r="A2" s="2" t="s">
        <v>54</v>
      </c>
    </row>
    <row r="4">
      <c r="A4" s="3"/>
      <c r="B4" s="3" t="s">
        <v>3</v>
      </c>
      <c r="C4" s="3" t="s">
        <v>4</v>
      </c>
      <c r="D4" s="3" t="s">
        <v>5</v>
      </c>
    </row>
    <row r="5">
      <c r="A5" s="17" t="s">
        <v>26</v>
      </c>
      <c r="B5" s="18"/>
      <c r="C5" s="18"/>
      <c r="D5" s="18"/>
    </row>
    <row r="6">
      <c r="A6" s="5" t="s">
        <v>27</v>
      </c>
      <c r="B6" s="9">
        <f>'Assumptions (Tax-Exempt)'!B5</f>
        <v>8057</v>
      </c>
      <c r="C6" s="9">
        <f>'Assumptions (Tax-Exempt)'!C5</f>
        <v>108.2</v>
      </c>
      <c r="D6" s="9">
        <f>'Assumptions (Tax-Exempt)'!D5</f>
        <v>0</v>
      </c>
    </row>
    <row r="7">
      <c r="A7" s="5" t="s">
        <v>28</v>
      </c>
      <c r="B7" s="9">
        <f>'Assumptions (Tax-Exempt)'!B9*36</f>
        <v>10735.2</v>
      </c>
      <c r="C7" s="9">
        <f>'Assumptions (Tax-Exempt)'!C9*36</f>
        <v>16692.48</v>
      </c>
      <c r="D7" s="9">
        <f>'Assumptions (Tax-Exempt)'!D9*36</f>
        <v>23971.32</v>
      </c>
    </row>
    <row r="8">
      <c r="A8" s="19" t="s">
        <v>29</v>
      </c>
      <c r="B8" s="20">
        <f t="shared" ref="B8:D8" si="1">B6+B7</f>
        <v>18792.2</v>
      </c>
      <c r="C8" s="20">
        <f t="shared" si="1"/>
        <v>16800.68</v>
      </c>
      <c r="D8" s="20">
        <f t="shared" si="1"/>
        <v>23971.32</v>
      </c>
    </row>
    <row r="10">
      <c r="A10" s="17" t="s">
        <v>30</v>
      </c>
      <c r="B10" s="18"/>
      <c r="C10" s="18"/>
      <c r="D10" s="18"/>
    </row>
    <row r="11">
      <c r="A11" s="16" t="s">
        <v>31</v>
      </c>
      <c r="B11" s="9">
        <v>0.0</v>
      </c>
      <c r="C11" s="9">
        <v>0.0</v>
      </c>
      <c r="D11" s="9">
        <v>0.0</v>
      </c>
    </row>
    <row r="12">
      <c r="A12" s="5" t="s">
        <v>28</v>
      </c>
      <c r="B12" s="9">
        <f>'Assumptions (Tax-Exempt)'!B9*36</f>
        <v>10735.2</v>
      </c>
      <c r="C12" s="9">
        <f>'Assumptions (Tax-Exempt)'!C9*36</f>
        <v>16692.48</v>
      </c>
      <c r="D12" s="9">
        <f>'Assumptions (Tax-Exempt)'!D9*36</f>
        <v>23971.32</v>
      </c>
    </row>
    <row r="13">
      <c r="A13" s="19" t="s">
        <v>32</v>
      </c>
      <c r="B13" s="20">
        <f t="shared" ref="B13:D13" si="2">B11+B12</f>
        <v>10735.2</v>
      </c>
      <c r="C13" s="20">
        <f t="shared" si="2"/>
        <v>16692.48</v>
      </c>
      <c r="D13" s="20">
        <f t="shared" si="2"/>
        <v>23971.32</v>
      </c>
    </row>
    <row r="15">
      <c r="A15" s="21" t="s">
        <v>33</v>
      </c>
      <c r="B15" s="21"/>
      <c r="C15" s="21"/>
      <c r="D15" s="21"/>
    </row>
    <row r="16">
      <c r="A16" s="19" t="s">
        <v>34</v>
      </c>
      <c r="B16" s="20">
        <f t="shared" ref="B16:D16" si="3">B8+B13</f>
        <v>29527.4</v>
      </c>
      <c r="C16" s="20">
        <f t="shared" si="3"/>
        <v>33493.16</v>
      </c>
      <c r="D16" s="20">
        <f t="shared" si="3"/>
        <v>47942.64</v>
      </c>
    </row>
    <row r="17">
      <c r="A17" s="16" t="s">
        <v>35</v>
      </c>
      <c r="B17" s="22">
        <f t="shared" ref="B17:D17" si="4">B16/72</f>
        <v>410.1027778</v>
      </c>
      <c r="C17" s="22">
        <f t="shared" si="4"/>
        <v>465.1827778</v>
      </c>
      <c r="D17" s="22">
        <f t="shared" si="4"/>
        <v>665.87</v>
      </c>
    </row>
    <row r="19">
      <c r="A19" s="17" t="s">
        <v>36</v>
      </c>
      <c r="B19" s="18"/>
      <c r="C19" s="17" t="s">
        <v>37</v>
      </c>
      <c r="D19" s="17" t="s">
        <v>38</v>
      </c>
    </row>
    <row r="20">
      <c r="A20" s="5" t="s">
        <v>39</v>
      </c>
      <c r="C20" s="9">
        <f>C8-B8</f>
        <v>-1991.52</v>
      </c>
      <c r="D20" s="9">
        <f>D8-B8</f>
        <v>5179.12</v>
      </c>
    </row>
    <row r="21" ht="15.75" customHeight="1">
      <c r="A21" s="5" t="s">
        <v>40</v>
      </c>
      <c r="C21" s="9">
        <f>C13-B13</f>
        <v>5957.28</v>
      </c>
      <c r="D21" s="9">
        <f>D13-B13</f>
        <v>13236.12</v>
      </c>
    </row>
    <row r="22" ht="15.75" customHeight="1">
      <c r="A22" s="19" t="s">
        <v>41</v>
      </c>
      <c r="C22" s="20">
        <f>C16-B16</f>
        <v>3965.76</v>
      </c>
      <c r="D22" s="20">
        <f>D16-B16</f>
        <v>18415.24</v>
      </c>
    </row>
    <row r="23" ht="15.75" customHeight="1">
      <c r="A23" s="16" t="s">
        <v>42</v>
      </c>
      <c r="C23" s="23">
        <f t="shared" ref="C23:D23" si="5">C22/C16</f>
        <v>0.1184050714</v>
      </c>
      <c r="D23" s="23">
        <f t="shared" si="5"/>
        <v>0.3841098446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2026-07-20T16:46:09Z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