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S:\Economic Development and Housing\Economic Development\"/>
    </mc:Choice>
  </mc:AlternateContent>
  <xr:revisionPtr revIDLastSave="0" documentId="8_{A45A4936-22D0-40CA-8A30-6EC26E399AA4}" xr6:coauthVersionLast="47" xr6:coauthVersionMax="47" xr10:uidLastSave="{00000000-0000-0000-0000-000000000000}"/>
  <bookViews>
    <workbookView xWindow="28680" yWindow="-120" windowWidth="29040" windowHeight="15720" tabRatio="500" xr2:uid="{00000000-000D-0000-FFFF-FFFF00000000}"/>
  </bookViews>
  <sheets>
    <sheet name="Executive Summary" sheetId="1" r:id="rId1"/>
    <sheet name="GRP by Industry" sheetId="2" r:id="rId2"/>
    <sheet name="Wage Trends" sheetId="3" r:id="rId3"/>
    <sheet name="Establishment Trends" sheetId="4" r:id="rId4"/>
    <sheet name="Self-Employed Trends" sheetId="5" r:id="rId5"/>
    <sheet name="Job Growth Trends" sheetId="6" r:id="rId6"/>
    <sheet name="Visitor Trends (Placer.ai)" sheetId="7" r:id="rId7"/>
    <sheet name="Population Trends" sheetId="8" r:id="rId8"/>
    <sheet name="Data" sheetId="9" r:id="rId9"/>
    <sheet name="GRP Data" sheetId="10" r:id="rId10"/>
    <sheet name="Wage Data" sheetId="11" r:id="rId11"/>
    <sheet name="Establishment Data" sheetId="12" r:id="rId12"/>
    <sheet name="Self-Employed Data" sheetId="13" r:id="rId13"/>
    <sheet name="Job Growth Data" sheetId="14" r:id="rId14"/>
    <sheet name="Population Data" sheetId="15" r:id="rId15"/>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20" i="15" l="1"/>
  <c r="G20" i="15"/>
  <c r="F20" i="15"/>
  <c r="E20" i="15"/>
  <c r="D20" i="15"/>
  <c r="C20" i="15"/>
  <c r="B20" i="15"/>
  <c r="I22" i="12"/>
  <c r="H22" i="12"/>
  <c r="G22" i="12"/>
  <c r="F22" i="12"/>
  <c r="E22" i="12"/>
  <c r="D22" i="12"/>
  <c r="C22" i="12"/>
  <c r="I23" i="10"/>
  <c r="H23" i="10"/>
  <c r="G23" i="10"/>
  <c r="F23" i="10"/>
  <c r="E23" i="10"/>
  <c r="D23" i="10"/>
  <c r="C23" i="10"/>
  <c r="H39" i="9"/>
  <c r="G39" i="9"/>
  <c r="F39" i="9"/>
  <c r="E39" i="9"/>
  <c r="D39" i="9"/>
  <c r="C39" i="9"/>
  <c r="B39" i="9"/>
  <c r="H38" i="9"/>
  <c r="G38" i="9"/>
  <c r="F38" i="9"/>
  <c r="E38" i="9"/>
  <c r="D38" i="9"/>
  <c r="C38" i="9"/>
  <c r="B38" i="9"/>
  <c r="H37" i="9"/>
  <c r="G37" i="9"/>
  <c r="F37" i="9"/>
  <c r="E37" i="9"/>
  <c r="D37" i="9"/>
  <c r="C37" i="9"/>
  <c r="B37" i="9"/>
  <c r="H36" i="9"/>
  <c r="G36" i="9"/>
  <c r="F36" i="9"/>
  <c r="E36" i="9"/>
  <c r="D36" i="9"/>
  <c r="C36" i="9"/>
  <c r="B36" i="9"/>
  <c r="H35" i="9"/>
  <c r="G35" i="9"/>
  <c r="F35" i="9"/>
  <c r="E35" i="9"/>
  <c r="D35" i="9"/>
  <c r="C35" i="9"/>
  <c r="B35" i="9"/>
  <c r="H34" i="9"/>
  <c r="G34" i="9"/>
  <c r="F34" i="9"/>
  <c r="E34" i="9"/>
  <c r="D34" i="9"/>
  <c r="C34" i="9"/>
  <c r="B34" i="9"/>
  <c r="H35" i="8"/>
  <c r="G35" i="8"/>
  <c r="F35" i="8"/>
  <c r="I35" i="8" s="1"/>
  <c r="E35" i="8"/>
  <c r="D35" i="8"/>
  <c r="C35" i="8"/>
  <c r="B35" i="8"/>
  <c r="D34" i="8"/>
  <c r="C34" i="8"/>
  <c r="H34" i="8" s="1"/>
  <c r="B34" i="8"/>
  <c r="H33" i="8"/>
  <c r="G33" i="8"/>
  <c r="D33" i="8"/>
  <c r="C33" i="8"/>
  <c r="F33" i="8" s="1"/>
  <c r="I33" i="8" s="1"/>
  <c r="B33" i="8"/>
  <c r="D32" i="8"/>
  <c r="C32" i="8"/>
  <c r="H32" i="8" s="1"/>
  <c r="B32" i="8"/>
  <c r="D31" i="8"/>
  <c r="F31" i="8" s="1"/>
  <c r="I31" i="8" s="1"/>
  <c r="C31" i="8"/>
  <c r="B31" i="8"/>
  <c r="E30" i="8"/>
  <c r="D30" i="8"/>
  <c r="H30" i="8" s="1"/>
  <c r="C30" i="8"/>
  <c r="B30" i="8"/>
  <c r="F29" i="8"/>
  <c r="I29" i="8" s="1"/>
  <c r="D29" i="8"/>
  <c r="H29" i="8" s="1"/>
  <c r="C29" i="8"/>
  <c r="B29" i="8"/>
  <c r="G28" i="8"/>
  <c r="F28" i="8"/>
  <c r="I28" i="8" s="1"/>
  <c r="E28" i="8"/>
  <c r="D28" i="8"/>
  <c r="H28" i="8" s="1"/>
  <c r="C28" i="8"/>
  <c r="B28" i="8"/>
  <c r="D27" i="8"/>
  <c r="H27" i="8" s="1"/>
  <c r="C27" i="8"/>
  <c r="B27" i="8"/>
  <c r="I26" i="8"/>
  <c r="H26" i="8"/>
  <c r="G26" i="8"/>
  <c r="F26" i="8"/>
  <c r="D26" i="8"/>
  <c r="E26" i="8" s="1"/>
  <c r="C26" i="8"/>
  <c r="B26" i="8"/>
  <c r="D25" i="8"/>
  <c r="G25" i="8" s="1"/>
  <c r="C25" i="8"/>
  <c r="H25" i="8" s="1"/>
  <c r="B25" i="8"/>
  <c r="D24" i="8"/>
  <c r="F24" i="8" s="1"/>
  <c r="I24" i="8" s="1"/>
  <c r="C24" i="8"/>
  <c r="B24" i="8"/>
  <c r="E23" i="8"/>
  <c r="D23" i="8"/>
  <c r="H23" i="8" s="1"/>
  <c r="C23" i="8"/>
  <c r="B23" i="8"/>
  <c r="F22" i="8"/>
  <c r="I22" i="8" s="1"/>
  <c r="D22" i="8"/>
  <c r="H22" i="8" s="1"/>
  <c r="C22" i="8"/>
  <c r="B22" i="8"/>
  <c r="G21" i="8"/>
  <c r="F21" i="8"/>
  <c r="I21" i="8" s="1"/>
  <c r="E21" i="8"/>
  <c r="D21" i="8"/>
  <c r="H21" i="8" s="1"/>
  <c r="C21" i="8"/>
  <c r="B21" i="8"/>
  <c r="D20" i="8"/>
  <c r="H20" i="8" s="1"/>
  <c r="C20" i="8"/>
  <c r="B20" i="8"/>
  <c r="I19" i="8"/>
  <c r="H19" i="8"/>
  <c r="G19" i="8"/>
  <c r="F19" i="8"/>
  <c r="D19" i="8"/>
  <c r="E19" i="8" s="1"/>
  <c r="C19" i="8"/>
  <c r="B19" i="8"/>
  <c r="D18" i="8"/>
  <c r="G18" i="8" s="1"/>
  <c r="C18" i="8"/>
  <c r="H18" i="8" s="1"/>
  <c r="B18" i="8"/>
  <c r="G14" i="8"/>
  <c r="D14" i="8"/>
  <c r="C14" i="8"/>
  <c r="E14" i="8" s="1"/>
  <c r="D13" i="8"/>
  <c r="G13" i="8" s="1"/>
  <c r="C13" i="8"/>
  <c r="F13" i="8" s="1"/>
  <c r="H12" i="8"/>
  <c r="G12" i="8"/>
  <c r="F12" i="8"/>
  <c r="E12" i="8"/>
  <c r="D12" i="8"/>
  <c r="C12" i="8"/>
  <c r="G11" i="8"/>
  <c r="H11" i="8" s="1"/>
  <c r="D11" i="8"/>
  <c r="C11" i="8"/>
  <c r="F11" i="8" s="1"/>
  <c r="H6" i="8"/>
  <c r="D6" i="8"/>
  <c r="F6" i="8" s="1"/>
  <c r="B6" i="8"/>
  <c r="I23" i="7"/>
  <c r="H23" i="7"/>
  <c r="G23" i="7"/>
  <c r="D23" i="7"/>
  <c r="F23" i="7" s="1"/>
  <c r="C23" i="7"/>
  <c r="I22" i="7"/>
  <c r="H22" i="7"/>
  <c r="F22" i="7"/>
  <c r="D22" i="7"/>
  <c r="G22" i="7" s="1"/>
  <c r="C22" i="7"/>
  <c r="I21" i="7"/>
  <c r="H21" i="7"/>
  <c r="G21" i="7"/>
  <c r="D21" i="7"/>
  <c r="F21" i="7" s="1"/>
  <c r="F6" i="7" s="1"/>
  <c r="C21" i="7"/>
  <c r="I20" i="7"/>
  <c r="H20" i="7"/>
  <c r="F20" i="7"/>
  <c r="D6" i="7" s="1"/>
  <c r="D20" i="7"/>
  <c r="G20" i="7" s="1"/>
  <c r="C20" i="7"/>
  <c r="I19" i="7"/>
  <c r="H19" i="7"/>
  <c r="G19" i="7"/>
  <c r="D19" i="7"/>
  <c r="F19" i="7" s="1"/>
  <c r="B6" i="7" s="1"/>
  <c r="C19" i="7"/>
  <c r="H6" i="7"/>
  <c r="H30" i="6"/>
  <c r="G30" i="6"/>
  <c r="I30" i="6" s="1"/>
  <c r="J30" i="6" s="1"/>
  <c r="F30" i="6"/>
  <c r="E30" i="6"/>
  <c r="D30" i="6"/>
  <c r="C30" i="6"/>
  <c r="B30" i="6"/>
  <c r="H29" i="6"/>
  <c r="I29" i="6" s="1"/>
  <c r="J29" i="6" s="1"/>
  <c r="G29" i="6"/>
  <c r="F29" i="6"/>
  <c r="E29" i="6"/>
  <c r="D29" i="6"/>
  <c r="C29" i="6"/>
  <c r="B29" i="6"/>
  <c r="I28" i="6"/>
  <c r="H28" i="6"/>
  <c r="G28" i="6"/>
  <c r="E28" i="6"/>
  <c r="F28" i="6" s="1"/>
  <c r="J28" i="6" s="1"/>
  <c r="D28" i="6"/>
  <c r="C28" i="6"/>
  <c r="B28" i="6"/>
  <c r="H27" i="6"/>
  <c r="I27" i="6" s="1"/>
  <c r="J27" i="6" s="1"/>
  <c r="G27" i="6"/>
  <c r="F27" i="6"/>
  <c r="E27" i="6"/>
  <c r="D27" i="6"/>
  <c r="C27" i="6"/>
  <c r="B27" i="6"/>
  <c r="H26" i="6"/>
  <c r="I26" i="6" s="1"/>
  <c r="G26" i="6"/>
  <c r="E26" i="6"/>
  <c r="F26" i="6" s="1"/>
  <c r="D26" i="6"/>
  <c r="C26" i="6"/>
  <c r="B26" i="6"/>
  <c r="I25" i="6"/>
  <c r="H25" i="6"/>
  <c r="G25" i="6"/>
  <c r="E25" i="6"/>
  <c r="F25" i="6" s="1"/>
  <c r="J25" i="6" s="1"/>
  <c r="D25" i="6"/>
  <c r="C25" i="6"/>
  <c r="B25" i="6"/>
  <c r="I24" i="6"/>
  <c r="H24" i="6"/>
  <c r="G24" i="6"/>
  <c r="E24" i="6"/>
  <c r="F24" i="6" s="1"/>
  <c r="D24" i="6"/>
  <c r="C24" i="6"/>
  <c r="B24" i="6"/>
  <c r="H23" i="6"/>
  <c r="G23" i="6"/>
  <c r="I23" i="6" s="1"/>
  <c r="J23" i="6" s="1"/>
  <c r="F23" i="6"/>
  <c r="E23" i="6"/>
  <c r="D23" i="6"/>
  <c r="C23" i="6"/>
  <c r="B23" i="6"/>
  <c r="I22" i="6"/>
  <c r="H22" i="6"/>
  <c r="G22" i="6"/>
  <c r="E22" i="6"/>
  <c r="D22" i="6"/>
  <c r="F22" i="6" s="1"/>
  <c r="C22" i="6"/>
  <c r="B22" i="6"/>
  <c r="H21" i="6"/>
  <c r="I21" i="6" s="1"/>
  <c r="J21" i="6" s="1"/>
  <c r="G21" i="6"/>
  <c r="E21" i="6"/>
  <c r="D21" i="6"/>
  <c r="F21" i="6" s="1"/>
  <c r="C21" i="6"/>
  <c r="B21" i="6"/>
  <c r="H20" i="6"/>
  <c r="I20" i="6" s="1"/>
  <c r="G20" i="6"/>
  <c r="E20" i="6"/>
  <c r="F20" i="6" s="1"/>
  <c r="D20" i="6"/>
  <c r="C20" i="6"/>
  <c r="B20" i="6"/>
  <c r="H19" i="6"/>
  <c r="I19" i="6" s="1"/>
  <c r="J19" i="6" s="1"/>
  <c r="G19" i="6"/>
  <c r="F19" i="6"/>
  <c r="E19" i="6"/>
  <c r="D19" i="6"/>
  <c r="C19" i="6"/>
  <c r="B19" i="6"/>
  <c r="I18" i="6"/>
  <c r="H18" i="6"/>
  <c r="G18" i="6"/>
  <c r="E18" i="6"/>
  <c r="F18" i="6" s="1"/>
  <c r="J18" i="6" s="1"/>
  <c r="D18" i="6"/>
  <c r="C18" i="6"/>
  <c r="B18" i="6"/>
  <c r="H17" i="6"/>
  <c r="G17" i="6"/>
  <c r="I17" i="6" s="1"/>
  <c r="E17" i="6"/>
  <c r="F17" i="6" s="1"/>
  <c r="D17" i="6"/>
  <c r="C17" i="6"/>
  <c r="B17" i="6"/>
  <c r="H16" i="6"/>
  <c r="G16" i="6"/>
  <c r="I16" i="6" s="1"/>
  <c r="J16" i="6" s="1"/>
  <c r="F16" i="6"/>
  <c r="E16" i="6"/>
  <c r="D16" i="6"/>
  <c r="C16" i="6"/>
  <c r="B16" i="6"/>
  <c r="H15" i="6"/>
  <c r="I15" i="6" s="1"/>
  <c r="J15" i="6" s="1"/>
  <c r="G15" i="6"/>
  <c r="F15" i="6"/>
  <c r="E15" i="6"/>
  <c r="D15" i="6"/>
  <c r="C15" i="6"/>
  <c r="B15" i="6"/>
  <c r="I14" i="6"/>
  <c r="H14" i="6"/>
  <c r="G14" i="6"/>
  <c r="E14" i="6"/>
  <c r="D14" i="6"/>
  <c r="F14" i="6" s="1"/>
  <c r="J14" i="6" s="1"/>
  <c r="C14" i="6"/>
  <c r="B14" i="6"/>
  <c r="H13" i="6"/>
  <c r="I13" i="6" s="1"/>
  <c r="J13" i="6" s="1"/>
  <c r="G13" i="6"/>
  <c r="F13" i="6"/>
  <c r="E13" i="6"/>
  <c r="D13" i="6"/>
  <c r="C13" i="6"/>
  <c r="B13" i="6"/>
  <c r="H12" i="6"/>
  <c r="I12" i="6" s="1"/>
  <c r="J12" i="6" s="1"/>
  <c r="G12" i="6"/>
  <c r="E12" i="6"/>
  <c r="F12" i="6" s="1"/>
  <c r="D12" i="6"/>
  <c r="C12" i="6"/>
  <c r="B12" i="6"/>
  <c r="I11" i="6"/>
  <c r="H11" i="6"/>
  <c r="G11" i="6"/>
  <c r="E11" i="6"/>
  <c r="F11" i="6" s="1"/>
  <c r="D11" i="6"/>
  <c r="C11" i="6"/>
  <c r="B11" i="6"/>
  <c r="H6" i="6"/>
  <c r="F6" i="6"/>
  <c r="D6" i="6"/>
  <c r="B6" i="6"/>
  <c r="C36" i="5"/>
  <c r="D36" i="5" s="1"/>
  <c r="D35" i="5"/>
  <c r="C35" i="5"/>
  <c r="C34" i="5"/>
  <c r="D34" i="5" s="1"/>
  <c r="C33" i="5"/>
  <c r="D33" i="5" s="1"/>
  <c r="D32" i="5"/>
  <c r="C32" i="5"/>
  <c r="C31" i="5"/>
  <c r="D31" i="5" s="1"/>
  <c r="D37" i="5" s="1"/>
  <c r="C30" i="5"/>
  <c r="H26" i="5"/>
  <c r="G26" i="5"/>
  <c r="F26" i="5"/>
  <c r="E26" i="5"/>
  <c r="D26" i="5"/>
  <c r="C26" i="5"/>
  <c r="B26" i="5"/>
  <c r="H25" i="5"/>
  <c r="G25" i="5"/>
  <c r="E25" i="5"/>
  <c r="F25" i="5" s="1"/>
  <c r="D25" i="5"/>
  <c r="C25" i="5"/>
  <c r="B25" i="5"/>
  <c r="H24" i="5"/>
  <c r="E24" i="5"/>
  <c r="G24" i="5" s="1"/>
  <c r="D24" i="5"/>
  <c r="C24" i="5"/>
  <c r="B24" i="5"/>
  <c r="E23" i="5"/>
  <c r="D23" i="5"/>
  <c r="H23" i="5" s="1"/>
  <c r="C23" i="5"/>
  <c r="B23" i="5"/>
  <c r="E22" i="5"/>
  <c r="H22" i="5" s="1"/>
  <c r="D22" i="5"/>
  <c r="C22" i="5"/>
  <c r="B22" i="5"/>
  <c r="E21" i="5"/>
  <c r="F21" i="5" s="1"/>
  <c r="D21" i="5"/>
  <c r="C21" i="5"/>
  <c r="B21" i="5"/>
  <c r="G20" i="5"/>
  <c r="F20" i="5"/>
  <c r="E20" i="5"/>
  <c r="H20" i="5" s="1"/>
  <c r="D20" i="5"/>
  <c r="C20" i="5"/>
  <c r="B20" i="5"/>
  <c r="H19" i="5"/>
  <c r="G19" i="5"/>
  <c r="F19" i="5"/>
  <c r="E19" i="5"/>
  <c r="D19" i="5"/>
  <c r="C19" i="5"/>
  <c r="B19" i="5"/>
  <c r="H18" i="5"/>
  <c r="G18" i="5"/>
  <c r="E18" i="5"/>
  <c r="F18" i="5" s="1"/>
  <c r="D18" i="5"/>
  <c r="C18" i="5"/>
  <c r="B18" i="5"/>
  <c r="H17" i="5"/>
  <c r="E17" i="5"/>
  <c r="G17" i="5" s="1"/>
  <c r="D17" i="5"/>
  <c r="C17" i="5"/>
  <c r="B17" i="5"/>
  <c r="E16" i="5"/>
  <c r="D16" i="5"/>
  <c r="H16" i="5" s="1"/>
  <c r="C16" i="5"/>
  <c r="B16" i="5"/>
  <c r="E15" i="5"/>
  <c r="H15" i="5" s="1"/>
  <c r="D15" i="5"/>
  <c r="C15" i="5"/>
  <c r="B15" i="5"/>
  <c r="E14" i="5"/>
  <c r="F14" i="5" s="1"/>
  <c r="D14" i="5"/>
  <c r="C14" i="5"/>
  <c r="B14" i="5"/>
  <c r="G13" i="5"/>
  <c r="F13" i="5"/>
  <c r="E13" i="5"/>
  <c r="H13" i="5" s="1"/>
  <c r="D13" i="5"/>
  <c r="C13" i="5"/>
  <c r="B13" i="5"/>
  <c r="H12" i="5"/>
  <c r="G12" i="5"/>
  <c r="F12" i="5"/>
  <c r="E12" i="5"/>
  <c r="D12" i="5"/>
  <c r="C12" i="5"/>
  <c r="B12" i="5"/>
  <c r="H11" i="5"/>
  <c r="G11" i="5"/>
  <c r="E11" i="5"/>
  <c r="F11" i="5" s="1"/>
  <c r="D11" i="5"/>
  <c r="C11" i="5"/>
  <c r="B11" i="5"/>
  <c r="F6" i="5"/>
  <c r="D6" i="5"/>
  <c r="B6" i="5"/>
  <c r="C40" i="4"/>
  <c r="D40" i="4" s="1"/>
  <c r="D39" i="4"/>
  <c r="C39" i="4"/>
  <c r="C38" i="4"/>
  <c r="D38" i="4" s="1"/>
  <c r="C37" i="4"/>
  <c r="C36" i="4"/>
  <c r="D36" i="4" s="1"/>
  <c r="D35" i="4"/>
  <c r="C35" i="4"/>
  <c r="C34" i="4"/>
  <c r="G30" i="4"/>
  <c r="F30" i="4"/>
  <c r="E30" i="4"/>
  <c r="H30" i="4" s="1"/>
  <c r="D30" i="4"/>
  <c r="C30" i="4"/>
  <c r="B30" i="4"/>
  <c r="H29" i="4"/>
  <c r="G29" i="4"/>
  <c r="F29" i="4"/>
  <c r="E29" i="4"/>
  <c r="D29" i="4"/>
  <c r="C29" i="4"/>
  <c r="B29" i="4"/>
  <c r="H28" i="4"/>
  <c r="G28" i="4"/>
  <c r="E28" i="4"/>
  <c r="F28" i="4" s="1"/>
  <c r="D28" i="4"/>
  <c r="C28" i="4"/>
  <c r="B28" i="4"/>
  <c r="E27" i="4"/>
  <c r="G27" i="4" s="1"/>
  <c r="D27" i="4"/>
  <c r="C27" i="4"/>
  <c r="B27" i="4"/>
  <c r="E26" i="4"/>
  <c r="D26" i="4"/>
  <c r="H26" i="4" s="1"/>
  <c r="C26" i="4"/>
  <c r="B26" i="4"/>
  <c r="E25" i="4"/>
  <c r="H25" i="4" s="1"/>
  <c r="D25" i="4"/>
  <c r="C25" i="4"/>
  <c r="B25" i="4"/>
  <c r="E24" i="4"/>
  <c r="F24" i="4" s="1"/>
  <c r="D24" i="4"/>
  <c r="C24" i="4"/>
  <c r="B24" i="4"/>
  <c r="G23" i="4"/>
  <c r="F23" i="4"/>
  <c r="E23" i="4"/>
  <c r="H23" i="4" s="1"/>
  <c r="D23" i="4"/>
  <c r="C23" i="4"/>
  <c r="B23" i="4"/>
  <c r="H22" i="4"/>
  <c r="G22" i="4"/>
  <c r="F22" i="4"/>
  <c r="E22" i="4"/>
  <c r="D22" i="4"/>
  <c r="C22" i="4"/>
  <c r="B22" i="4"/>
  <c r="H21" i="4"/>
  <c r="E21" i="4"/>
  <c r="G21" i="4" s="1"/>
  <c r="D21" i="4"/>
  <c r="C21" i="4"/>
  <c r="B21" i="4"/>
  <c r="E20" i="4"/>
  <c r="G20" i="4" s="1"/>
  <c r="D20" i="4"/>
  <c r="C20" i="4"/>
  <c r="B20" i="4"/>
  <c r="E19" i="4"/>
  <c r="D19" i="4"/>
  <c r="H19" i="4" s="1"/>
  <c r="C19" i="4"/>
  <c r="B19" i="4"/>
  <c r="E18" i="4"/>
  <c r="H18" i="4" s="1"/>
  <c r="D18" i="4"/>
  <c r="C18" i="4"/>
  <c r="B18" i="4"/>
  <c r="E17" i="4"/>
  <c r="F17" i="4" s="1"/>
  <c r="D17" i="4"/>
  <c r="C17" i="4"/>
  <c r="B17" i="4"/>
  <c r="G16" i="4"/>
  <c r="F16" i="4"/>
  <c r="E16" i="4"/>
  <c r="H16" i="4" s="1"/>
  <c r="D16" i="4"/>
  <c r="C16" i="4"/>
  <c r="B16" i="4"/>
  <c r="H15" i="4"/>
  <c r="G15" i="4"/>
  <c r="F15" i="4"/>
  <c r="E15" i="4"/>
  <c r="D15" i="4"/>
  <c r="C15" i="4"/>
  <c r="B15" i="4"/>
  <c r="H14" i="4"/>
  <c r="E14" i="4"/>
  <c r="G14" i="4" s="1"/>
  <c r="D14" i="4"/>
  <c r="C14" i="4"/>
  <c r="B14" i="4"/>
  <c r="E13" i="4"/>
  <c r="G13" i="4" s="1"/>
  <c r="D13" i="4"/>
  <c r="C13" i="4"/>
  <c r="B13" i="4"/>
  <c r="E12" i="4"/>
  <c r="D12" i="4"/>
  <c r="H12" i="4" s="1"/>
  <c r="C12" i="4"/>
  <c r="B12" i="4"/>
  <c r="E11" i="4"/>
  <c r="H11" i="4" s="1"/>
  <c r="D11" i="4"/>
  <c r="C11" i="4"/>
  <c r="B11" i="4"/>
  <c r="D6" i="4"/>
  <c r="B6" i="4"/>
  <c r="F6" i="4" s="1"/>
  <c r="E33" i="3"/>
  <c r="G33" i="3" s="1"/>
  <c r="D33" i="3"/>
  <c r="C33" i="3"/>
  <c r="B33" i="3"/>
  <c r="E32" i="3"/>
  <c r="D32" i="3"/>
  <c r="H32" i="3" s="1"/>
  <c r="C32" i="3"/>
  <c r="B32" i="3"/>
  <c r="E31" i="3"/>
  <c r="H31" i="3" s="1"/>
  <c r="D31" i="3"/>
  <c r="C31" i="3"/>
  <c r="B31" i="3"/>
  <c r="E30" i="3"/>
  <c r="F30" i="3" s="1"/>
  <c r="D30" i="3"/>
  <c r="C30" i="3"/>
  <c r="B30" i="3"/>
  <c r="G29" i="3"/>
  <c r="F29" i="3"/>
  <c r="E29" i="3"/>
  <c r="H29" i="3" s="1"/>
  <c r="D29" i="3"/>
  <c r="C29" i="3"/>
  <c r="B29" i="3"/>
  <c r="H28" i="3"/>
  <c r="G28" i="3"/>
  <c r="F28" i="3"/>
  <c r="E28" i="3"/>
  <c r="D28" i="3"/>
  <c r="C28" i="3"/>
  <c r="B28" i="3"/>
  <c r="H27" i="3"/>
  <c r="E27" i="3"/>
  <c r="G27" i="3" s="1"/>
  <c r="D27" i="3"/>
  <c r="C27" i="3"/>
  <c r="B27" i="3"/>
  <c r="E26" i="3"/>
  <c r="G26" i="3" s="1"/>
  <c r="D26" i="3"/>
  <c r="C26" i="3"/>
  <c r="B26" i="3"/>
  <c r="E25" i="3"/>
  <c r="D25" i="3"/>
  <c r="H25" i="3" s="1"/>
  <c r="C25" i="3"/>
  <c r="B25" i="3"/>
  <c r="E24" i="3"/>
  <c r="H24" i="3" s="1"/>
  <c r="D24" i="3"/>
  <c r="C24" i="3"/>
  <c r="B24" i="3"/>
  <c r="E23" i="3"/>
  <c r="F23" i="3" s="1"/>
  <c r="D23" i="3"/>
  <c r="C23" i="3"/>
  <c r="B23" i="3"/>
  <c r="G22" i="3"/>
  <c r="F22" i="3"/>
  <c r="E22" i="3"/>
  <c r="H22" i="3" s="1"/>
  <c r="D22" i="3"/>
  <c r="C22" i="3"/>
  <c r="B22" i="3"/>
  <c r="H21" i="3"/>
  <c r="G21" i="3"/>
  <c r="F21" i="3"/>
  <c r="E21" i="3"/>
  <c r="D21" i="3"/>
  <c r="C21" i="3"/>
  <c r="B21" i="3"/>
  <c r="H20" i="3"/>
  <c r="G20" i="3"/>
  <c r="E20" i="3"/>
  <c r="F20" i="3" s="1"/>
  <c r="D20" i="3"/>
  <c r="C20" i="3"/>
  <c r="B20" i="3"/>
  <c r="E19" i="3"/>
  <c r="G19" i="3" s="1"/>
  <c r="D19" i="3"/>
  <c r="C19" i="3"/>
  <c r="B19" i="3"/>
  <c r="E18" i="3"/>
  <c r="D18" i="3"/>
  <c r="H18" i="3" s="1"/>
  <c r="C18" i="3"/>
  <c r="B18" i="3"/>
  <c r="E17" i="3"/>
  <c r="H17" i="3" s="1"/>
  <c r="D17" i="3"/>
  <c r="C17" i="3"/>
  <c r="B17" i="3"/>
  <c r="E16" i="3"/>
  <c r="F16" i="3" s="1"/>
  <c r="D16" i="3"/>
  <c r="C16" i="3"/>
  <c r="B16" i="3"/>
  <c r="G15" i="3"/>
  <c r="F15" i="3"/>
  <c r="E15" i="3"/>
  <c r="H15" i="3" s="1"/>
  <c r="D15" i="3"/>
  <c r="C15" i="3"/>
  <c r="B15" i="3"/>
  <c r="H14" i="3"/>
  <c r="G14" i="3"/>
  <c r="F14" i="3"/>
  <c r="E14" i="3"/>
  <c r="D14" i="3"/>
  <c r="C14" i="3"/>
  <c r="B14" i="3"/>
  <c r="H13" i="3"/>
  <c r="E13" i="3"/>
  <c r="G13" i="3" s="1"/>
  <c r="D13" i="3"/>
  <c r="C13" i="3"/>
  <c r="B13" i="3"/>
  <c r="E12" i="3"/>
  <c r="G12" i="3" s="1"/>
  <c r="D12" i="3"/>
  <c r="C12" i="3"/>
  <c r="B12" i="3"/>
  <c r="E11" i="3"/>
  <c r="D11" i="3"/>
  <c r="H11" i="3" s="1"/>
  <c r="C11" i="3"/>
  <c r="H6" i="3" s="1"/>
  <c r="B11" i="3"/>
  <c r="D6" i="3"/>
  <c r="F6" i="3" s="1"/>
  <c r="B6" i="3"/>
  <c r="I30" i="2"/>
  <c r="J30" i="2" s="1"/>
  <c r="K30" i="2" s="1"/>
  <c r="H30" i="2"/>
  <c r="E30" i="2"/>
  <c r="G30" i="2" s="1"/>
  <c r="D30" i="2"/>
  <c r="C30" i="2"/>
  <c r="B30" i="2"/>
  <c r="H29" i="2"/>
  <c r="E29" i="2"/>
  <c r="I29" i="2" s="1"/>
  <c r="J29" i="2" s="1"/>
  <c r="K29" i="2" s="1"/>
  <c r="D29" i="2"/>
  <c r="C29" i="2"/>
  <c r="B29" i="2"/>
  <c r="I28" i="2"/>
  <c r="J28" i="2" s="1"/>
  <c r="K28" i="2" s="1"/>
  <c r="H28" i="2"/>
  <c r="E28" i="2"/>
  <c r="G28" i="2" s="1"/>
  <c r="D28" i="2"/>
  <c r="C28" i="2"/>
  <c r="B28" i="2"/>
  <c r="E27" i="2"/>
  <c r="I27" i="2" s="1"/>
  <c r="J27" i="2" s="1"/>
  <c r="K27" i="2" s="1"/>
  <c r="D27" i="2"/>
  <c r="H27" i="2" s="1"/>
  <c r="C27" i="2"/>
  <c r="B27" i="2"/>
  <c r="I26" i="2"/>
  <c r="H26" i="2"/>
  <c r="J26" i="2" s="1"/>
  <c r="K26" i="2" s="1"/>
  <c r="G26" i="2"/>
  <c r="E26" i="2"/>
  <c r="D26" i="2"/>
  <c r="F26" i="2" s="1"/>
  <c r="C26" i="2"/>
  <c r="B26" i="2"/>
  <c r="I25" i="2"/>
  <c r="E25" i="2"/>
  <c r="D25" i="2"/>
  <c r="H25" i="2" s="1"/>
  <c r="J25" i="2" s="1"/>
  <c r="K25" i="2" s="1"/>
  <c r="C25" i="2"/>
  <c r="B25" i="2"/>
  <c r="G24" i="2"/>
  <c r="F24" i="2"/>
  <c r="E24" i="2"/>
  <c r="I24" i="2" s="1"/>
  <c r="D24" i="2"/>
  <c r="H24" i="2" s="1"/>
  <c r="C24" i="2"/>
  <c r="B24" i="2"/>
  <c r="I23" i="2"/>
  <c r="J23" i="2" s="1"/>
  <c r="K23" i="2" s="1"/>
  <c r="H23" i="2"/>
  <c r="E23" i="2"/>
  <c r="G23" i="2" s="1"/>
  <c r="D23" i="2"/>
  <c r="C23" i="2"/>
  <c r="B23" i="2"/>
  <c r="E22" i="2"/>
  <c r="I22" i="2" s="1"/>
  <c r="J22" i="2" s="1"/>
  <c r="K22" i="2" s="1"/>
  <c r="D22" i="2"/>
  <c r="H22" i="2" s="1"/>
  <c r="C22" i="2"/>
  <c r="B22" i="2"/>
  <c r="I21" i="2"/>
  <c r="J21" i="2" s="1"/>
  <c r="K21" i="2" s="1"/>
  <c r="H21" i="2"/>
  <c r="E21" i="2"/>
  <c r="G21" i="2" s="1"/>
  <c r="D21" i="2"/>
  <c r="F21" i="2" s="1"/>
  <c r="C21" i="2"/>
  <c r="B21" i="2"/>
  <c r="E20" i="2"/>
  <c r="I20" i="2" s="1"/>
  <c r="D20" i="2"/>
  <c r="H20" i="2" s="1"/>
  <c r="C20" i="2"/>
  <c r="B20" i="2"/>
  <c r="I19" i="2"/>
  <c r="H19" i="2"/>
  <c r="J19" i="2" s="1"/>
  <c r="K19" i="2" s="1"/>
  <c r="G19" i="2"/>
  <c r="F19" i="2"/>
  <c r="E19" i="2"/>
  <c r="D19" i="2"/>
  <c r="C19" i="2"/>
  <c r="B19" i="2"/>
  <c r="I18" i="2"/>
  <c r="H18" i="2"/>
  <c r="J18" i="2" s="1"/>
  <c r="K18" i="2" s="1"/>
  <c r="E18" i="2"/>
  <c r="D18" i="2"/>
  <c r="G18" i="2" s="1"/>
  <c r="C18" i="2"/>
  <c r="B18" i="2"/>
  <c r="E17" i="2"/>
  <c r="I17" i="2" s="1"/>
  <c r="J17" i="2" s="1"/>
  <c r="K17" i="2" s="1"/>
  <c r="D17" i="2"/>
  <c r="H17" i="2" s="1"/>
  <c r="C17" i="2"/>
  <c r="B17" i="2"/>
  <c r="I16" i="2"/>
  <c r="J16" i="2" s="1"/>
  <c r="K16" i="2" s="1"/>
  <c r="H16" i="2"/>
  <c r="F16" i="2"/>
  <c r="E16" i="2"/>
  <c r="G16" i="2" s="1"/>
  <c r="D16" i="2"/>
  <c r="C16" i="2"/>
  <c r="B16" i="2"/>
  <c r="E15" i="2"/>
  <c r="I15" i="2" s="1"/>
  <c r="J15" i="2" s="1"/>
  <c r="K15" i="2" s="1"/>
  <c r="D15" i="2"/>
  <c r="H15" i="2" s="1"/>
  <c r="C15" i="2"/>
  <c r="B15" i="2"/>
  <c r="I14" i="2"/>
  <c r="J14" i="2" s="1"/>
  <c r="K14" i="2" s="1"/>
  <c r="H14" i="2"/>
  <c r="F14" i="2"/>
  <c r="E14" i="2"/>
  <c r="G14" i="2" s="1"/>
  <c r="D14" i="2"/>
  <c r="C14" i="2"/>
  <c r="B14" i="2"/>
  <c r="E13" i="2"/>
  <c r="I13" i="2" s="1"/>
  <c r="J13" i="2" s="1"/>
  <c r="K13" i="2" s="1"/>
  <c r="D13" i="2"/>
  <c r="H13" i="2" s="1"/>
  <c r="C13" i="2"/>
  <c r="B13" i="2"/>
  <c r="I12" i="2"/>
  <c r="H12" i="2"/>
  <c r="J12" i="2" s="1"/>
  <c r="K12" i="2" s="1"/>
  <c r="G12" i="2"/>
  <c r="F12" i="2"/>
  <c r="E12" i="2"/>
  <c r="D12" i="2"/>
  <c r="C12" i="2"/>
  <c r="B12" i="2"/>
  <c r="I11" i="2"/>
  <c r="H11" i="2"/>
  <c r="J11" i="2" s="1"/>
  <c r="K11" i="2" s="1"/>
  <c r="E11" i="2"/>
  <c r="D11" i="2"/>
  <c r="G11" i="2" s="1"/>
  <c r="C11" i="2"/>
  <c r="B11" i="2"/>
  <c r="E10" i="2"/>
  <c r="I10" i="2" s="1"/>
  <c r="D10" i="2"/>
  <c r="F10" i="2" s="1"/>
  <c r="C10" i="2"/>
  <c r="B10" i="2"/>
  <c r="F6" i="2"/>
  <c r="D6" i="2"/>
  <c r="B6" i="2"/>
  <c r="E26" i="1"/>
  <c r="D26" i="1"/>
  <c r="C26" i="1"/>
  <c r="G26" i="1" s="1"/>
  <c r="F25" i="1"/>
  <c r="E25" i="1"/>
  <c r="D25" i="1"/>
  <c r="C25" i="1"/>
  <c r="G25" i="1" s="1"/>
  <c r="F24" i="1"/>
  <c r="E24" i="1"/>
  <c r="G24" i="1" s="1"/>
  <c r="D24" i="1"/>
  <c r="C24" i="1"/>
  <c r="E23" i="1"/>
  <c r="D23" i="1"/>
  <c r="F23" i="1" s="1"/>
  <c r="C23" i="1"/>
  <c r="G23" i="1" s="1"/>
  <c r="G22" i="1"/>
  <c r="E22" i="1"/>
  <c r="D22" i="1"/>
  <c r="C22" i="1"/>
  <c r="F22" i="1" s="1"/>
  <c r="G21" i="1"/>
  <c r="F21" i="1"/>
  <c r="E21" i="1"/>
  <c r="D21" i="1"/>
  <c r="C21" i="1"/>
  <c r="E20" i="1"/>
  <c r="D20" i="1"/>
  <c r="C20" i="1"/>
  <c r="G20" i="1" s="1"/>
  <c r="E6" i="1"/>
  <c r="D6" i="1"/>
  <c r="C6" i="1"/>
  <c r="B6" i="1"/>
  <c r="J20" i="2" l="1"/>
  <c r="K20" i="2" s="1"/>
  <c r="I22" i="4"/>
  <c r="J11" i="6"/>
  <c r="H13" i="8"/>
  <c r="J17" i="6"/>
  <c r="J24" i="2"/>
  <c r="K24" i="2" s="1"/>
  <c r="I21" i="4"/>
  <c r="J26" i="6"/>
  <c r="J22" i="6"/>
  <c r="J24" i="6"/>
  <c r="I31" i="2"/>
  <c r="J20" i="6"/>
  <c r="H12" i="3"/>
  <c r="H19" i="3"/>
  <c r="H26" i="3"/>
  <c r="H33" i="3"/>
  <c r="H13" i="4"/>
  <c r="H6" i="4" s="1"/>
  <c r="H20" i="4"/>
  <c r="H27" i="4"/>
  <c r="F14" i="8"/>
  <c r="H14" i="8" s="1"/>
  <c r="G24" i="8"/>
  <c r="G31" i="8"/>
  <c r="E33" i="8"/>
  <c r="H24" i="8"/>
  <c r="H31" i="8"/>
  <c r="F22" i="2"/>
  <c r="G15" i="2"/>
  <c r="G22" i="2"/>
  <c r="G29" i="2"/>
  <c r="G16" i="3"/>
  <c r="G23" i="3"/>
  <c r="G30" i="3"/>
  <c r="G17" i="4"/>
  <c r="I17" i="4" s="1"/>
  <c r="G24" i="4"/>
  <c r="I12" i="5"/>
  <c r="G14" i="5"/>
  <c r="G21" i="5"/>
  <c r="F15" i="2"/>
  <c r="F29" i="2"/>
  <c r="F11" i="2"/>
  <c r="F25" i="2"/>
  <c r="D31" i="2"/>
  <c r="F11" i="3"/>
  <c r="H16" i="3"/>
  <c r="F18" i="3"/>
  <c r="H23" i="3"/>
  <c r="F25" i="3"/>
  <c r="H30" i="3"/>
  <c r="F32" i="3"/>
  <c r="F12" i="4"/>
  <c r="H17" i="4"/>
  <c r="F19" i="4"/>
  <c r="H24" i="4"/>
  <c r="F26" i="4"/>
  <c r="D37" i="4"/>
  <c r="D41" i="4" s="1"/>
  <c r="H14" i="5"/>
  <c r="H6" i="5" s="1"/>
  <c r="F16" i="5"/>
  <c r="H21" i="5"/>
  <c r="F23" i="5"/>
  <c r="F18" i="2"/>
  <c r="G25" i="2"/>
  <c r="E31" i="2"/>
  <c r="G11" i="3"/>
  <c r="I28" i="3" s="1"/>
  <c r="G18" i="3"/>
  <c r="G25" i="3"/>
  <c r="G32" i="3"/>
  <c r="I32" i="3" s="1"/>
  <c r="G12" i="4"/>
  <c r="G19" i="4"/>
  <c r="G26" i="4"/>
  <c r="G16" i="5"/>
  <c r="G23" i="5"/>
  <c r="E20" i="7"/>
  <c r="E22" i="7"/>
  <c r="F23" i="8"/>
  <c r="I23" i="8" s="1"/>
  <c r="F30" i="8"/>
  <c r="I30" i="8" s="1"/>
  <c r="F28" i="2"/>
  <c r="F13" i="3"/>
  <c r="F27" i="3"/>
  <c r="F14" i="4"/>
  <c r="F21" i="4"/>
  <c r="E18" i="8"/>
  <c r="G23" i="8"/>
  <c r="E25" i="8"/>
  <c r="G30" i="8"/>
  <c r="E32" i="8"/>
  <c r="E13" i="8"/>
  <c r="F18" i="8"/>
  <c r="I18" i="8" s="1"/>
  <c r="F25" i="8"/>
  <c r="I25" i="8" s="1"/>
  <c r="F32" i="8"/>
  <c r="I32" i="8" s="1"/>
  <c r="F17" i="2"/>
  <c r="E20" i="8"/>
  <c r="E27" i="8"/>
  <c r="G32" i="8"/>
  <c r="E34" i="8"/>
  <c r="G17" i="2"/>
  <c r="E11" i="8"/>
  <c r="F20" i="8"/>
  <c r="I20" i="8" s="1"/>
  <c r="F27" i="8"/>
  <c r="I27" i="8" s="1"/>
  <c r="F34" i="8"/>
  <c r="I34" i="8" s="1"/>
  <c r="F27" i="2"/>
  <c r="F17" i="3"/>
  <c r="F24" i="3"/>
  <c r="F31" i="3"/>
  <c r="F11" i="4"/>
  <c r="F18" i="4"/>
  <c r="F25" i="4"/>
  <c r="F15" i="5"/>
  <c r="F22" i="5"/>
  <c r="G20" i="8"/>
  <c r="E22" i="8"/>
  <c r="G27" i="8"/>
  <c r="E29" i="8"/>
  <c r="G34" i="8"/>
  <c r="F20" i="1"/>
  <c r="G10" i="2"/>
  <c r="H10" i="2"/>
  <c r="H31" i="2" s="1"/>
  <c r="F13" i="2"/>
  <c r="F20" i="2"/>
  <c r="F26" i="1"/>
  <c r="G13" i="2"/>
  <c r="G20" i="2"/>
  <c r="G27" i="2"/>
  <c r="G17" i="3"/>
  <c r="G24" i="3"/>
  <c r="G31" i="3"/>
  <c r="G11" i="4"/>
  <c r="I15" i="4" s="1"/>
  <c r="G18" i="4"/>
  <c r="G25" i="4"/>
  <c r="G15" i="5"/>
  <c r="I17" i="5" s="1"/>
  <c r="G22" i="5"/>
  <c r="I22" i="5" s="1"/>
  <c r="F30" i="2"/>
  <c r="F12" i="3"/>
  <c r="F19" i="3"/>
  <c r="F26" i="3"/>
  <c r="F33" i="3"/>
  <c r="F13" i="4"/>
  <c r="F20" i="4"/>
  <c r="F27" i="4"/>
  <c r="F17" i="5"/>
  <c r="F24" i="5"/>
  <c r="E19" i="7"/>
  <c r="E21" i="7"/>
  <c r="E23" i="7"/>
  <c r="G22" i="8"/>
  <c r="E24" i="8"/>
  <c r="G29" i="8"/>
  <c r="E31" i="8"/>
  <c r="F23" i="2"/>
  <c r="I25" i="3" l="1"/>
  <c r="I21" i="5"/>
  <c r="I27" i="3"/>
  <c r="I12" i="3"/>
  <c r="I15" i="3"/>
  <c r="I18" i="3"/>
  <c r="I11" i="5"/>
  <c r="I18" i="5"/>
  <c r="I14" i="5"/>
  <c r="I14" i="4"/>
  <c r="J10" i="2"/>
  <c r="K10" i="2" s="1"/>
  <c r="I24" i="5"/>
  <c r="G31" i="2"/>
  <c r="F31" i="2"/>
  <c r="I24" i="4"/>
  <c r="I19" i="5"/>
  <c r="I21" i="3"/>
  <c r="I29" i="3"/>
  <c r="I20" i="5"/>
  <c r="I23" i="5"/>
  <c r="I11" i="4"/>
  <c r="I28" i="4"/>
  <c r="I16" i="5"/>
  <c r="I13" i="5"/>
  <c r="I13" i="4"/>
  <c r="I20" i="4"/>
  <c r="I25" i="4"/>
  <c r="I26" i="3"/>
  <c r="I22" i="3"/>
  <c r="I33" i="3"/>
  <c r="I30" i="3"/>
  <c r="I14" i="3"/>
  <c r="I15" i="5"/>
  <c r="I18" i="4"/>
  <c r="I19" i="4"/>
  <c r="I29" i="4"/>
  <c r="I20" i="3"/>
  <c r="I11" i="3"/>
  <c r="I16" i="4"/>
  <c r="I26" i="5"/>
  <c r="I23" i="3"/>
  <c r="I19" i="3"/>
  <c r="I16" i="3"/>
  <c r="I13" i="3"/>
  <c r="I31" i="3"/>
  <c r="I26" i="4"/>
  <c r="I24" i="3"/>
  <c r="I17" i="3"/>
  <c r="I12" i="4"/>
  <c r="I27" i="4"/>
  <c r="I23" i="4"/>
  <c r="I30" i="4"/>
  <c r="I25" i="5"/>
  <c r="H6" i="2" l="1"/>
  <c r="J6" i="2"/>
</calcChain>
</file>

<file path=xl/sharedStrings.xml><?xml version="1.0" encoding="utf-8"?>
<sst xmlns="http://schemas.openxmlformats.org/spreadsheetml/2006/main" count="516" uniqueCount="351">
  <si>
    <t>Summit County Unemployment Rate — Executive Summary</t>
  </si>
  <si>
    <t>Comparison vs. Utah Counties, State of Utah, and United States  |  Nov 2025 - May 2026</t>
  </si>
  <si>
    <t>KEY METRICS - MOST RECENT MONTH (MAY 2026)</t>
  </si>
  <si>
    <t>Summit County</t>
  </si>
  <si>
    <t>State of Utah</t>
  </si>
  <si>
    <t>United States</t>
  </si>
  <si>
    <t>Summit Rank (of counties)</t>
  </si>
  <si>
    <t>HOW SUMMIT COUNTY PERFORMS</t>
  </si>
  <si>
    <t>Summit County posted a 3.1% unemployment rate in May 2026 - tied with several other counties for the lowest rate among Utah's 29 counties (RANK = 1 of 29 in the Data tab, since ties share the top rank).</t>
  </si>
  <si>
    <t>Relative to benchmarks, Summit County's May 2026 rate ran 0.6 percentage points below the State of Utah (3.7%) and 1.2 points below the U.S. rate (4.3%). Summit has stayed under both the state and national rate in every month of the six-month window (Nov 2025 - May 2026).</t>
  </si>
  <si>
    <t>Trend: Summit County's rate held near 3.1% for most of the period but spiked to 3.6% in March 2026 - its highest point in the window - before falling back to 3.1% by April and staying there through May. The State of Utah and U.S. rates were comparatively flat across the same months, so Summit's March spike was a county-specific move rather than a broader trend.</t>
  </si>
  <si>
    <t>Peer context: among the 29 counties, the countywide average unemployment rate in May 2026 was about 4.0%, with a low of 3.1% (shared by Summit and several other counties, including Beaver, Cache, Iron, Morgan, and Wasatch) and a high of 7.8% in Garfield County. Summit's rate sits at the low end of the distribution and is effectively tied for the best in the state.</t>
  </si>
  <si>
    <t>SUMMIT COUNTY vs. STATE &amp; USA - MONTHLY TREND</t>
  </si>
  <si>
    <t>Month</t>
  </si>
  <si>
    <t>Summit vs. State (pp)</t>
  </si>
  <si>
    <t>Summit vs. USA (pp)</t>
  </si>
  <si>
    <t>Nov 2025</t>
  </si>
  <si>
    <t>Dec 2025</t>
  </si>
  <si>
    <t>Jan 2026</t>
  </si>
  <si>
    <t>Feb 2026</t>
  </si>
  <si>
    <t>Mar 2026</t>
  </si>
  <si>
    <t>Apr 2026</t>
  </si>
  <si>
    <t>May 2026</t>
  </si>
  <si>
    <t>DATA NOTES</t>
  </si>
  <si>
    <t>Source: Data tab (imported from the original workbook, Unemployment_Rate.xlsx). Figures are not seasonally adjusted county/state/national unemployment rates.</t>
  </si>
  <si>
    <t>All percentage-point differences and rankings are calculated with live formulas referencing the Data tab, so figures update automatically if source data changes.</t>
  </si>
  <si>
    <t>Summit County Gross Regional Product (GRP) by Industry</t>
  </si>
  <si>
    <t>Consolidated by 2-digit NAICS Industry, 2019 - 2025  |  Source: GRP Data tab</t>
  </si>
  <si>
    <t>KEY METRICS: 2019 vs 2025</t>
  </si>
  <si>
    <t>Total GRP 2019</t>
  </si>
  <si>
    <t>Total GRP 2025</t>
  </si>
  <si>
    <t>Total Growth 2019-2025</t>
  </si>
  <si>
    <t>Industries Gaining Share</t>
  </si>
  <si>
    <t>Industries Losing Share</t>
  </si>
  <si>
    <t>GRP BY 2-DIGIT NAICS INDUSTRY: 2019 vs 2025</t>
  </si>
  <si>
    <t>NAICS</t>
  </si>
  <si>
    <t>Industry</t>
  </si>
  <si>
    <t>2019 GRP</t>
  </si>
  <si>
    <t>2025 GRP</t>
  </si>
  <si>
    <t>$ Change</t>
  </si>
  <si>
    <t>% Change</t>
  </si>
  <si>
    <t>2019 Share</t>
  </si>
  <si>
    <t>2025 Share</t>
  </si>
  <si>
    <t>Share Chg (pp)</t>
  </si>
  <si>
    <t>Trend</t>
  </si>
  <si>
    <t>TOTAL</t>
  </si>
  <si>
    <t>HIGHLIGHTS: GROWTH &amp; DECLINE IN INDUSTRY CONTRIBUTION</t>
  </si>
  <si>
    <t>Every industry grew in dollar terms from 2019 to 2025 - total Summit County GRP rose from $4.01 billion to $7.00 billion, a 74.6% increase. "Decline" below refers to an industry's share of total GRP (its relative contribution), not a dollar-value decline.</t>
  </si>
  <si>
    <t>Biggest gains in contribution (share of total GRP): Construction added about 1.3 percentage points of share (its dollar total grew 122.6%, the second-fastest of any industry), Finance and Insurance added roughly 0.6 points, and Other Vectors added about 0.6 points.</t>
  </si>
  <si>
    <t>Biggest declines in contribution: Arts, Entertainment, and Recreation lost about 1.2 percentage points of share even though its dollar total still grew 44.1% - it simply grew slower than the county as a whole. Professional, Scientific, and Technical Services and Retail Trade each lost roughly 0.3 points of share.</t>
  </si>
  <si>
    <t>Slowest-growing industries in dollar terms: Transportation and Warehousing (+13.8%), Educational Services (+36.8%), and Arts, Entertainment, and Recreation (+44.1%) all expanded well below the county-wide 74.6% growth rate, which is why their share of the total economy shrank even as their dollar totals rose.</t>
  </si>
  <si>
    <t>Fastest-growing industries in dollar terms: Utilities (+130.4%), Agriculture, Forestry, Fishing and Hunting (+126.2%), and Construction (+122.6%) roughly doubled or more than doubled between 2019 and 2025, well ahead of the county-wide pace.</t>
  </si>
  <si>
    <t>Source: GRP Data tab, consolidated from Lightcast Q3 2026 GRP reports for Summit County, UT (2019_GRP.xlsx - 2025_GRP.xlsx). All GRP figures are nominal dollars, not inflation-adjusted.</t>
  </si>
  <si>
    <t>"Share Chg (pp)" is the change in an industry's percentage-of-total-GRP from 2019 to 2025, in percentage points. Trend flags use a +/-0.5 pp threshold to separate real share shifts from rounding noise. All figures are calculated with live formulas referencing the GRP Data tab.</t>
  </si>
  <si>
    <t>Summit County Median Wages by Occupation</t>
  </si>
  <si>
    <t>Consolidated by SOC 2-digit Occupation Group, 2019 - 2025  |  Source: Wage Data tab</t>
  </si>
  <si>
    <t>Avg Median Wage 2019</t>
  </si>
  <si>
    <t>Avg Median Wage 2025</t>
  </si>
  <si>
    <t>Avg Wage Growth 2019-2025</t>
  </si>
  <si>
    <t>Fastest-Growing Occupation</t>
  </si>
  <si>
    <t>MEDIAN WAGE BY OCCUPATION: 2019 vs 2025 (RANKED BY % GROWTH)</t>
  </si>
  <si>
    <t>SOC</t>
  </si>
  <si>
    <t>Occupation</t>
  </si>
  <si>
    <t>2019 Wage</t>
  </si>
  <si>
    <t>2025 Wage</t>
  </si>
  <si>
    <t>CAGR</t>
  </si>
  <si>
    <t>Growth vs. Avg</t>
  </si>
  <si>
    <t>TRENDS &amp; NOTABLE CHANGES</t>
  </si>
  <si>
    <t>Every occupation group grew in median wage from 2019 to 2025 - the county-wide average median wage rose from about $47,000 to $63,100, a 34.2% increase, though individual occupations grew at very different rates (16 pts to 53 pts apart).</t>
  </si>
  <si>
    <t>Fastest-growing: Legal Occupations led all groups (+52.8%, $66,249 -&gt; $101,256), followed by Educational Instruction and Library Occupations (+49.0%) and Farming, Fishing, and Forestry Occupations (+46.5%). Management Occupations (+45.2%) and Production Occupations (+44.8%) round out the top five - a mix of high-wage professional roles and lower-wage trades, so the fastest growth was not confined to one wage tier.</t>
  </si>
  <si>
    <t>Slowest-growing: Community and Social Service Occupations grew the least (+15.4%, $49,325 -&gt; $56,932), followed by Military-only occupations (+17.9%) and Business and Financial Operations Occupations (+22.0%). These three groups are the only ones that grew meaningfully slower than the county-wide average of 34.2%.</t>
  </si>
  <si>
    <t>Highest-paid in 2025: Computer and Mathematical Occupations ($106,742), Architecture and Engineering Occupations ($103,560), Legal Occupations ($101,256), and Management Occupations ($100,950) are the only groups now above $100,000.</t>
  </si>
  <si>
    <t>Lowest-paid in 2025: Food Preparation and Serving Related Occupations remains the lowest-paid group ($35,420), followed by Farming, Fishing, and Forestry ($39,246) and Personal Care and Service Occupations ($40,172) - though notably, Farming, Fishing, and Forestry was also among the fastest-growing groups, meaning the gap is narrowing.</t>
  </si>
  <si>
    <t>Volatility: most occupations rose every year, but a few saw a dip along the way - Legal Occupations fell in 2020, Community and Social Service Occupations fell in both 2020 and 2021, and Installation, Maintenance, and Repair Occupations dropped sharply in 2021 (-6.3%) before recovering. Military-only occupations is the only group that has declined for three straight years (2023-2025) after peaking in 2022.</t>
  </si>
  <si>
    <t>Source: Wage Data tab, consolidated from the Lightcast Q3 2026 Occupation Table for Summit County, UT (Median_HH_INcome.xlsx). Figures are nominal median annual earnings, not inflation-adjusted.</t>
  </si>
  <si>
    <t>"Growth vs. Avg" flags whether an occupation's 2019-2025 % change in median wage is above or below the average % change across all occupation groups. All figures are calculated with live formulas referencing the Wage Data tab.</t>
  </si>
  <si>
    <t>Summit County Business Establishments by Industry</t>
  </si>
  <si>
    <t>Consolidated by 2-digit NAICS Industry, 2019 - 2025  |  Source: Establishment Data tab</t>
  </si>
  <si>
    <t>Total Establishments 2019</t>
  </si>
  <si>
    <t>Total Establishments 2025</t>
  </si>
  <si>
    <t>Median Industry CAGR</t>
  </si>
  <si>
    <t>ESTABLISHMENTS BY 2-DIGIT NAICS INDUSTRY: 2019 vs 2025 (RANKED BY % GROWTH)</t>
  </si>
  <si>
    <t>2019 Est.</t>
  </si>
  <si>
    <t>2025 Est.</t>
  </si>
  <si>
    <t># Change</t>
  </si>
  <si>
    <t>Growth vs. Median</t>
  </si>
  <si>
    <t>TOTAL ESTABLISHMENTS: YEAR-OVER-YEAR GROWTH</t>
  </si>
  <si>
    <t>Year</t>
  </si>
  <si>
    <t>Total Establishments</t>
  </si>
  <si>
    <t>YoY Growth %</t>
  </si>
  <si>
    <t>Median Annual Growth Rate</t>
  </si>
  <si>
    <t>Summit County's total business establishments grew from about 3,019 in 2019 to 3,591 in 2025 (+18.9%, a 2.9% compound annual growth rate). Growth was front-loaded: the county added roughly 3-7% more establishments per year from 2020-2022, then growth nearly stalled from 2023-2025 (well under 1% per year). The median annual (year-over-year) growth rate across 2020-2025 was about 1.8%.</t>
  </si>
  <si>
    <t>Fastest-growing industries by establishment count: Agriculture, Forestry, Fishing and Hunting doubled (+100.0%, 7 to 14 establishments, though off a small base), followed by Utilities (+65.0%), Management of Companies and Enterprises (+58.9%), Information (+58.5%), and Finance and Insurance (+48.1%). These span both small niche sectors and larger, higher-wage industries.</t>
  </si>
  <si>
    <t>Slowest-growing / declining industries: Transportation and Warehousing shrank the most (-17.5%, 53 to 44 establishments), followed by Mining, Quarrying, and Oil and Gas Extraction (-14.7%), Retail Trade (-1.6%), and Government (-1.3%). Manufacturing and Real Estate were nearly flat (+1.7% and +3.9%).</t>
  </si>
  <si>
    <t>Median industry growth: the typical (median) 2-digit industry grew about 16.3% in establishment count from 2019-2025, a 2.5% median CAGR - both lower than the fastest movers above but broadly in line with the county's overall 18.9% total growth, meaning growth was fairly widespread rather than driven by just one or two industries.</t>
  </si>
  <si>
    <t>Cross-reference with GRP and wages: Professional, Scientific, and Technical Services grew strongly in establishment count (+42.6%) and was also one of the largest dollar contributors to GRP growth, while Construction's establishment growth (+15.4%) was far more modest than its 122.6% GRP growth - suggesting existing construction firms expanded output more than new firms entered the market.</t>
  </si>
  <si>
    <t>Source: Establishment Data tab, consolidated from the Lightcast Q3 2026 Industry Table for Summit County, UT (Establishment_growth_by_Industry_NAICS_Code.xlsx). Establishment counts are Lightcast modeled estimates and can include fractional values.</t>
  </si>
  <si>
    <t>"Growth vs. Median" flags whether an industry's 2019-2025 % change is above or below the median % change across all industries. All figures are calculated with live formulas referencing the Establishment Data tab.</t>
  </si>
  <si>
    <t>Summit County Self-Employed Jobs by Industry</t>
  </si>
  <si>
    <t>Consolidated by 2-digit NAICS Industry, 2019 - 2025  |  Source: Self-Employed Data tab</t>
  </si>
  <si>
    <t>Total Self-Employed 2019</t>
  </si>
  <si>
    <t>Total Self-Employed 2025</t>
  </si>
  <si>
    <t>SELF-EMPLOYED JOBS BY 2-DIGIT NAICS INDUSTRY: 2019 vs 2025 (RANKED BY % GROWTH)</t>
  </si>
  <si>
    <t>2019 Jobs</t>
  </si>
  <si>
    <t>2025 Jobs</t>
  </si>
  <si>
    <t>TOTAL SELF-EMPLOYED JOBS: YEAR-OVER-YEAR GROWTH</t>
  </si>
  <si>
    <t>Total Self-Employed</t>
  </si>
  <si>
    <t>Total self-employed jobs in Summit County grew from about 1,976 in 2019 to 2,291 in 2025 (+16.0%, a 2.5% compound annual growth rate). Growth was heavily front-loaded: self-employment jumped 13.2% in 2020 alone (consistent with a pandemic-era shift toward independent/gig work), then fell back 5.5% in 2021 as some of that shifted back to traditional employment, and has grown steadily but modestly (1-3% per year) since 2022. The median annual growth rate across 2020-2025 was about 2.1%.</t>
  </si>
  <si>
    <t>Two industries - Mining, Quarrying, and Oil and Gas Extraction and Utilities - are excluded from the ranked growth table because their self-employed counts were suppressed ('&lt;10') in every year; self-employment in those sectors is negligible in Summit County. Management of Companies and Enterprises and Government are excluded because they structurally have zero self-employed workers (corporate/public-sector categories, not sole proprietorships).</t>
  </si>
  <si>
    <t>Fastest-growing: Agriculture, Forestry, Fishing and Hunting nearly tripled (+182.3%, 11 to 30 jobs, off a small base), followed by Manufacturing (+75.8%), Accommodation and Food Services (+64.9%), and Health Care and Social Assistance (+51.2%). These are meaningfully faster than the county-wide 16.0% total growth.</t>
  </si>
  <si>
    <t>Declining: Arts, Entertainment, and Recreation self-employment fell the most (-18.3%, 122 to 100 jobs), followed by Wholesale Trade (-13.5%), Finance and Insurance (-5.1%), and Retail Trade (-5.0%). Real Estate and Rental and Leasing was essentially flat (+1.2%).</t>
  </si>
  <si>
    <t>Where self-employment concentrates: in 2025, Other Services (18.2% of all self-employed jobs), Professional, Scientific, and Technical Services (17.5%), and Construction (10.6%) together account for nearly half of all self-employment in the county - a very different mix from wage employment, where Professional Services and Construction are large but Other Services is a much smaller share.</t>
  </si>
  <si>
    <t>Cross-reference: Health Care and Social Assistance is growing fast in both self-employment (+51.2%) and overall establishments/wages, suggesting independent practitioners (therapists, consultants, home health) are a real driver of that sector's expansion - not just larger employers.</t>
  </si>
  <si>
    <t>Source: Self-Employed Data tab, consolidated from the Lightcast Q3 2026 "Self-Employed" datarun Industry Table for Summit County, UT (Self_Employed.xlsx). Figures are Lightcast modeled job counts and can include fractional values.</t>
  </si>
  <si>
    <t>"Growth vs. Median" flags whether an industry's 2019-2025 % change is above or below the median % change across ranked industries. All figures are calculated with live formulas referencing the Self-Employed Data tab.</t>
  </si>
  <si>
    <t>Summit County Job Growth: With &amp; Without Extended Proprietors</t>
  </si>
  <si>
    <t>Consolidated by 2-digit NAICS Industry, 2019 - 2025  |  Source: Job Growth Data tab</t>
  </si>
  <si>
    <t>Total Jobs 2019
(No Ext / Incl Ext)</t>
  </si>
  <si>
    <t>Total Jobs 2025
(No Ext / Incl Ext)</t>
  </si>
  <si>
    <t>Total Growth
(No Ext / Incl Ext)</t>
  </si>
  <si>
    <t>Proprietor Share of Jobs
2019 -&gt; 2025</t>
  </si>
  <si>
    <t>JOB GROWTH BY INDUSTRY: 2019 vs 2025 (RANKED BY % GROWTH, NO EXT. PROPRIETORS)</t>
  </si>
  <si>
    <t>2019 (No Ext)</t>
  </si>
  <si>
    <t>2025 (No Ext)</t>
  </si>
  <si>
    <t>% Chg (No Ext)</t>
  </si>
  <si>
    <t>2019 (Incl Ext)</t>
  </si>
  <si>
    <t>2025 (Incl Ext)</t>
  </si>
  <si>
    <t>% Chg (Incl Ext)</t>
  </si>
  <si>
    <t>Growth Gap (pp)</t>
  </si>
  <si>
    <t>Total jobs excluding extended proprietors grew from 31,353 to 36,005 (+14.8%, 2.3% CAGR). Including extended proprietors, total jobs grew from 43,197 to 54,666 (+26.6%, 4.0% CAGR) - growth is meaningfully faster once extended proprietors are counted, and the gap between the two series has widened every year since 2019.</t>
  </si>
  <si>
    <t>Extended proprietors are becoming a bigger share of the county's job base: they accounted for 27.4% of all jobs in 2019 but 34.1% in 2025. In other words, more than a third of Summit County's total job count in 2025 comes from proprietors not captured in the standard jobs series - up from about a quarter in 2019.</t>
  </si>
  <si>
    <t>Both years, 2020, saw a divergence: standard jobs fell sharply (-8.1%) as traditional employers cut back, while the extended-proprietor series fell much less (-3.3%) - consistent with people turning to self-employment/proprietorship when traditional jobs disappeared.</t>
  </si>
  <si>
    <t>Biggest divergences by industry: Real Estate and Rental and Leasing is the starkest example - standard jobs actually declined slightly (-1.1%) while the extended-proprietor series grew 69.9%, a 71-point gap. This pattern (flat or shrinking standard jobs, strong extended-proprietor growth) also shows up in Transportation and Warehousing (-33.8% vs +20.1%, a 54-point gap) and Mining (-15.3% vs +15.2%, a 31-point gap) - all three look like they are shrinking on a standard jobs basis but are actually growing once proprietors are included.</t>
  </si>
  <si>
    <t>Agriculture, Forestry, Fishing and Hunting is a caution flag: it shows the fastest standard-jobs growth of any industry (+294.2%, off a very small base of 45 jobs) but only +10.2% growth including extended proprietors - because the vast majority of the industry's total workforce was already counted as proprietors (93% of 2019's total), so the large percentage swing in the small "standard jobs" slice barely moves the bigger picture.</t>
  </si>
  <si>
    <t>Industries where the two measures broadly agree: Construction (+52.6% vs +50.0%), Health Care and Social Assistance (+46.0% vs +44.1%), and Administrative and Support Services (+30.9% vs +30.9%, an exact match) all show consistent growth regardless of which measure is used - these are the industries where growth is coming from traditional employers, not proprietors.</t>
  </si>
  <si>
    <t>Source: Job Growth Data tab. "No Ext. Proprietors" figures are from Jobs_Growth_by_Industry_Does_not_Include_Extended_Propritor.xlsx; "Incl. Ext. Proprietors" figures are from Job_growth_includes_extended_Proprietor.xlsx. Both are Lightcast Q3 2026 modeled job counts for Summit County, UT.</t>
  </si>
  <si>
    <t>"Growth Gap (pp)" is the % change including extended proprietors minus the % change excluding them, in percentage points - a positive value means proprietor growth outpaced standard job growth in that industry. All figures are calculated with live formulas referencing the Job Growth Data tab.</t>
  </si>
  <si>
    <t>Summit County Visitor Activity (Placer.ai)</t>
  </si>
  <si>
    <t>Out-of-Market Visitors, Non-Resident Visits, Employees, Commuters &amp; Time in Market, 2019 - 2025</t>
  </si>
  <si>
    <t>Out of Market Visitors
% Chg 2019-2025</t>
  </si>
  <si>
    <t>Non Resident Visits
% Chg 2019-2025</t>
  </si>
  <si>
    <t>Employees
% Chg 2019-2025</t>
  </si>
  <si>
    <t>Inbound Commuters Visits
% Chg 2019-2025</t>
  </si>
  <si>
    <t>RAW DATA: 2019 - 2025</t>
  </si>
  <si>
    <t>Metric</t>
  </si>
  <si>
    <t>Out of Market Visitors</t>
  </si>
  <si>
    <t>Non Resident Visits</t>
  </si>
  <si>
    <t>Employees</t>
  </si>
  <si>
    <t>Inbound Commuters Visits</t>
  </si>
  <si>
    <t>Median Daily Time Spent in Market (minimutes)</t>
  </si>
  <si>
    <t>GROWTH ANALYSIS: 2019 vs 2025</t>
  </si>
  <si>
    <t>2019</t>
  </si>
  <si>
    <t>2025</t>
  </si>
  <si>
    <t>$/# Change</t>
  </si>
  <si>
    <t>Peak Year</t>
  </si>
  <si>
    <t>Low Year</t>
  </si>
  <si>
    <t>Visitor volumes and visitor engagement moved in opposite directions from 2019 to 2025. Out-of-market visitors fell -4.8% (5.22M to 4.97M, -0.8% CAGR) and non-resident visits fell -2.6% (24.3M to 23.7M) - but employees working in the county rose +46.8% (17,934 to 26,334, 6.6% CAGR) and inbound commuter visits rose +41.4% (1.25M to 1.77M). At the same time, the median time a visitor spends in the market fell -19.9% (266 to 213 minutes, -3.6% CAGR).</t>
  </si>
  <si>
    <t>Read together, this points to a shift in how people use Summit County: fewer traditional visitors are coming, and the ones who do come are staying for meaningfully shorter periods (down almost 1 full hour since 2019) - while a growing number of people now commute in to work rather than visit. The county looks increasingly like a workday/day-trip destination and less like a place people linger, relative to 2019.</t>
  </si>
  <si>
    <t>2020 pandemic dip, then 2021 rebound: every visitor metric dropped in 2020 (out-of-market visitors -12.0%, non-resident visits -15.9%, inbound commuters -5.5%), then rebounded sharply in 2021 (out-of-market visitors +19.9%, non-resident visits +24.5%, inbound commuters +12.5%, and time in market hit its 2019-2025 peak of 273 minutes). Employees were the only metric that grew straight through 2020 with no dip.</t>
  </si>
  <si>
    <t>2022 was the peak year for visitor volume - both out-of-market visitors (5.70M) and non-resident visits (25.2M, second only to 2021's 25.5M) hit their highest levels of the period - but every year since has trended down. Time in market has fallen every single year since its 2021 peak, the most consistent trend of any metric in this dataset.</t>
  </si>
  <si>
    <t>Employees and inbound commuters grew every year except one (Employees dipped slightly in 2020-adjacent years show no decline at all; Inbound Commuters dipped only in 2020) and both accelerated in 2023 (+13.8% employees, +17.8% commuters) - the same year visitor time-in-market began its steepest decline (-10.0%), reinforcing the shift from visitor to worker/commuter activity in the local economy.</t>
  </si>
  <si>
    <t>Source: Placer.ai visitor analytics for Summit County, UT, consolidated from Non_resident_Visitors.xlsx, Out_of_Market_Visitors.xlsx, and Median_Time_in_Market.xlsx (all three source files report identical figures for their overlapping metrics).</t>
  </si>
  <si>
    <t>This dataset reports county-wide visitor activity rather than industry-level detail, so trends here describe overall visitor/commuter behavior rather than differences between industries. All figures in the Growth Analysis table are calculated with live formulas referencing the raw data table above.</t>
  </si>
  <si>
    <t>Summit County Population by Age Cohort</t>
  </si>
  <si>
    <t>Consolidated by 5-Year Age Cohort, 2019 - 2025  |  Source: Population Data tab</t>
  </si>
  <si>
    <t>Total Population 2019</t>
  </si>
  <si>
    <t>Total Population 2025</t>
  </si>
  <si>
    <t>Senior (65+) Share 2019 -&gt; 2025</t>
  </si>
  <si>
    <t>POPULATION BY BROAD AGE BAND: 2019 vs 2025</t>
  </si>
  <si>
    <t>Age Band</t>
  </si>
  <si>
    <t>2019 Pop.</t>
  </si>
  <si>
    <t>2025 Pop.</t>
  </si>
  <si>
    <t>Youth (0-19)</t>
  </si>
  <si>
    <t>Young Adult (20-34)</t>
  </si>
  <si>
    <t>Middle Age (35-64)</t>
  </si>
  <si>
    <t>Senior (65+)</t>
  </si>
  <si>
    <t>POPULATION BY 5-YEAR AGE COHORT: 2019 vs 2025 (RANKED BY % GROWTH)</t>
  </si>
  <si>
    <t>Age Cohort</t>
  </si>
  <si>
    <t>Summit County's total population grew modestly from 42,081 in 2019 to 43,178 in 2025 (+2.6%, 0.4% CAGR) - but that small headline number hides a significant shift in the age mix: the county is aging. The clearest pattern in the data is that every cohort age 65 and older grew, while most cohorts under 20 shrank.</t>
  </si>
  <si>
    <t>Seniors (65+) are the fastest-growing and most consistent trend: every single 5-year cohort from 65-69 through 85+ grew, led by 80-84 year olds (+75.8%, 456 to 801), 75-79 year olds (+44.8%), and 85+ (+38.1%). As a group, the senior population grew 37.9% and now makes up 18.0% of the county, up from 13.4% in 2019 - a 4.6 percentage-point gain, the largest share shift of any age band.</t>
  </si>
  <si>
    <t>Youth (0-19) is shrinking the fastest of any age band: down 9.4% overall, driven by steep declines in school-age cohorts - 5 to 9 years (-15.6%), 10 to 14 years (-14.8%), and 15 to 19 years (-3.9%). Notably, Under 5 years is nearly flat (-1.5%), so the drop is concentrated in school-age children rather than newborns, consistent with families with older kids leaving or aging out faster than new young families arrive. Youth's share of the population fell from 26.4% to 23.3% (-3.1 points).</t>
  </si>
  <si>
    <t>Young adults (20-34) are the only other growing age band (+5.2%), driven almost entirely by 20-24 year olds (+16.5%) and 25-29 year olds (+5.3%), while 30-34 year olds actually declined (-6.2%). This looks like an inflow of early-career young adults that doesn't fully carry through to the early-thirties cohort - consistent with a seasonal/resort-town labor market that draws young workers who don't all stay long-term.</t>
  </si>
  <si>
    <t>Middle age (35-64) is flat-to-declining (-2.1%), with the sharpest cohort-level drops NOT here but concentrated at the boundary with youth (45-49: -3.9%, 30-34: -6.2%) - suggesting the county may be losing prime working-age parents alongside their school-age children, while retaining or attracting more retirees.</t>
  </si>
  <si>
    <t>Net effect - a county getting older, not just growing: with seniors gaining nearly 5 points of population share while youth loses 3 points, Summit County's age structure in 2025 looks meaningfully older than in 2019, even though total population grew only modestly. This has direct implications for schools (shrinking enrollment base), housing demand (aging-in-place vs. family housing), and the future labor force (fewer young people aging into working years locally).</t>
  </si>
  <si>
    <t>Source: Population Data tab, consolidated from the Lightcast Q3 2026 Population Demographics Table for Summit County, UT (Population_Growth_by_Age_Cohort.xlsx). Figures are Lightcast modeled population estimates by 5-year age cohort; 2025 figures include a modeled partial-year estimate.</t>
  </si>
  <si>
    <t>"Trend" flags a cohort as Growing/Shrinking using a +/-10% threshold on 2019-2025 % change to separate real movement from rounding noise. Age-band groupings (Youth, Young Adult, Middle Age, Senior) are defined for this analysis and are not an official Census/Lightcast category. All figures are calculated with live formulas referencing the Population Data tab.</t>
  </si>
  <si>
    <t>Area</t>
  </si>
  <si>
    <t>Beaver County</t>
  </si>
  <si>
    <t>Box Elder County</t>
  </si>
  <si>
    <t>Cache County</t>
  </si>
  <si>
    <t>Carbon County</t>
  </si>
  <si>
    <t>Daggett County</t>
  </si>
  <si>
    <t>Davis County</t>
  </si>
  <si>
    <t>Duchesne County</t>
  </si>
  <si>
    <t>Emery County</t>
  </si>
  <si>
    <t>Garfield County</t>
  </si>
  <si>
    <t>Grand County</t>
  </si>
  <si>
    <t>Iron County</t>
  </si>
  <si>
    <t>Juab County</t>
  </si>
  <si>
    <t>Kane County</t>
  </si>
  <si>
    <t>Millard County</t>
  </si>
  <si>
    <t>Morgan County</t>
  </si>
  <si>
    <t>Piute County</t>
  </si>
  <si>
    <t>Rich County</t>
  </si>
  <si>
    <t>Salt Lake County</t>
  </si>
  <si>
    <t>San Juan County</t>
  </si>
  <si>
    <t>Sanpete County</t>
  </si>
  <si>
    <t>Sevier County</t>
  </si>
  <si>
    <t>Tooele County</t>
  </si>
  <si>
    <t>Uintah County</t>
  </si>
  <si>
    <t>Utah County</t>
  </si>
  <si>
    <t>Wasatch County</t>
  </si>
  <si>
    <t>Washington County</t>
  </si>
  <si>
    <t>Wayne County</t>
  </si>
  <si>
    <t>Weber County</t>
  </si>
  <si>
    <t>County Average</t>
  </si>
  <si>
    <t>County Median</t>
  </si>
  <si>
    <t>County Minimum</t>
  </si>
  <si>
    <t>County Maximum</t>
  </si>
  <si>
    <t>Summit County Rank (1=lowest)</t>
  </si>
  <si>
    <t>Counties Compared</t>
  </si>
  <si>
    <t>2020 GRP</t>
  </si>
  <si>
    <t>2021 GRP</t>
  </si>
  <si>
    <t>2022 GRP</t>
  </si>
  <si>
    <t>2023 GRP</t>
  </si>
  <si>
    <t>2024 GRP</t>
  </si>
  <si>
    <t>Agriculture, Forestry, Fishing and Hunting</t>
  </si>
  <si>
    <t>Mining, Quarrying, and Oil and Gas Extraction</t>
  </si>
  <si>
    <t>Utilities</t>
  </si>
  <si>
    <t>Construction</t>
  </si>
  <si>
    <t>Manufacturing</t>
  </si>
  <si>
    <t>Wholesale Trade</t>
  </si>
  <si>
    <t>Retail Trade</t>
  </si>
  <si>
    <t>Transportation and Warehousing</t>
  </si>
  <si>
    <t>Information</t>
  </si>
  <si>
    <t>Finance and Insurance</t>
  </si>
  <si>
    <t>Real Estate and Rental and Leasing</t>
  </si>
  <si>
    <t>Professional, Scientific, and Technical Services</t>
  </si>
  <si>
    <t>Management of Companies and Enterprises</t>
  </si>
  <si>
    <t>Administrative and Support and Waste Management and Remediation Services</t>
  </si>
  <si>
    <t>Educational Services</t>
  </si>
  <si>
    <t>Health Care and Social Assistance</t>
  </si>
  <si>
    <t>Arts, Entertainment, and Recreation</t>
  </si>
  <si>
    <t>Accommodation and Food Services</t>
  </si>
  <si>
    <t>Other Services (except Public Administration)</t>
  </si>
  <si>
    <t>Government</t>
  </si>
  <si>
    <t>Other Vectors</t>
  </si>
  <si>
    <t>TOTAL GRP</t>
  </si>
  <si>
    <t>Source: Lightcast Q3 2026 Data Set, Summit County GRP reports (2019_GRP.xlsx - 2025_GRP.xlsx), "Gross Regional Product" tab, GRP column. Figures are nominal dollars, not inflation-adjusted.</t>
  </si>
  <si>
    <t>2019 Median Earnings</t>
  </si>
  <si>
    <t>2020 Median Earnings</t>
  </si>
  <si>
    <t>2021 Median Earnings</t>
  </si>
  <si>
    <t>2022 Median Earnings</t>
  </si>
  <si>
    <t>2023 Median Earnings</t>
  </si>
  <si>
    <t>2024 Median Earnings</t>
  </si>
  <si>
    <t>2025 Median Earnings</t>
  </si>
  <si>
    <t>11-0000</t>
  </si>
  <si>
    <t>Management Occupations</t>
  </si>
  <si>
    <t>13-0000</t>
  </si>
  <si>
    <t>Business and Financial Operations Occupations</t>
  </si>
  <si>
    <t>15-0000</t>
  </si>
  <si>
    <t>Computer and Mathematical Occupations</t>
  </si>
  <si>
    <t>17-0000</t>
  </si>
  <si>
    <t>Architecture and Engineering Occupations</t>
  </si>
  <si>
    <t>19-0000</t>
  </si>
  <si>
    <t>Life, Physical, and Social Science Occupations</t>
  </si>
  <si>
    <t>21-0000</t>
  </si>
  <si>
    <t>Community and Social Service Occupations</t>
  </si>
  <si>
    <t>23-0000</t>
  </si>
  <si>
    <t>Legal Occupations</t>
  </si>
  <si>
    <t>25-0000</t>
  </si>
  <si>
    <t>Educational Instruction and Library Occupations</t>
  </si>
  <si>
    <t>27-0000</t>
  </si>
  <si>
    <t>Arts, Design, Entertainment, Sports, and Media Occupations</t>
  </si>
  <si>
    <t>29-0000</t>
  </si>
  <si>
    <t>Healthcare Practitioners and Technical Occupations</t>
  </si>
  <si>
    <t>31-0000</t>
  </si>
  <si>
    <t>Healthcare Support Occupations</t>
  </si>
  <si>
    <t>33-0000</t>
  </si>
  <si>
    <t>Protective Service Occupations</t>
  </si>
  <si>
    <t>35-0000</t>
  </si>
  <si>
    <t>Food Preparation and Serving Related Occupations</t>
  </si>
  <si>
    <t>37-0000</t>
  </si>
  <si>
    <t>Building and Grounds Cleaning and Maintenance Occupations</t>
  </si>
  <si>
    <t>39-0000</t>
  </si>
  <si>
    <t>Personal Care and Service Occupations</t>
  </si>
  <si>
    <t>41-0000</t>
  </si>
  <si>
    <t>Sales and Related Occupations</t>
  </si>
  <si>
    <t>43-0000</t>
  </si>
  <si>
    <t>Office and Administrative Support Occupations</t>
  </si>
  <si>
    <t>45-0000</t>
  </si>
  <si>
    <t>Farming, Fishing, and Forestry Occupations</t>
  </si>
  <si>
    <t>47-0000</t>
  </si>
  <si>
    <t>Construction and Extraction Occupations</t>
  </si>
  <si>
    <t>49-0000</t>
  </si>
  <si>
    <t>Installation, Maintenance, and Repair Occupations</t>
  </si>
  <si>
    <t>51-0000</t>
  </si>
  <si>
    <t>Production Occupations</t>
  </si>
  <si>
    <t>53-0000</t>
  </si>
  <si>
    <t>Transportation and Material Moving Occupations</t>
  </si>
  <si>
    <t>55-0000</t>
  </si>
  <si>
    <t>Military-only occupations</t>
  </si>
  <si>
    <t>Source: Lightcast Q3 2026 Data Set, Summit County, UT Occupation Table (Median_HH_INcome.xlsx), "Occs" tab, Median Annual Earnings by SOC 2-digit occupation group. The "Unclassified Occupation" row (SOC 99-0000, all-zero across all years) was excluded as not meaningful for trend analysis.</t>
  </si>
  <si>
    <t>2019 Establishments</t>
  </si>
  <si>
    <t>2020 Establishments</t>
  </si>
  <si>
    <t>2021 Establishments</t>
  </si>
  <si>
    <t>2022 Establishments</t>
  </si>
  <si>
    <t>2023 Establishments</t>
  </si>
  <si>
    <t>2024 Establishments</t>
  </si>
  <si>
    <t>2025 Establishments</t>
  </si>
  <si>
    <t>Source: Lightcast Q3 2026 Data Set, Summit County, UT Industry Table (Establishment_growth_by_Industry_NAICS_Code.xlsx), "Inds" tab, Establishments by 2-digit NAICS industry. The "Unclassified Industry" row (NAICS 99, near-zero across all years) was excluded as not meaningful for trend analysis. Establishment counts are Lightcast modeled estimates and can include fractional values.</t>
  </si>
  <si>
    <t>2019 Self-Employed Jobs</t>
  </si>
  <si>
    <t>2020 Self-Employed Jobs</t>
  </si>
  <si>
    <t>2021 Self-Employed Jobs</t>
  </si>
  <si>
    <t>2022 Self-Employed Jobs</t>
  </si>
  <si>
    <t>2023 Self-Employed Jobs</t>
  </si>
  <si>
    <t>2024 Self-Employed Jobs</t>
  </si>
  <si>
    <t>2025 Self-Employed Jobs</t>
  </si>
  <si>
    <t>&lt;10</t>
  </si>
  <si>
    <t>Unclassified Industry</t>
  </si>
  <si>
    <t>Source: Lightcast Q3 2026 Data Set ("2026.3 - Self-Employed" datarun), Summit County, UT Industry Table (Self_Employed.xlsx), "Inds" tab. "&lt;10" indicates a suppressed value (fewer than 10 self-employed jobs); these cells are excluded from growth calculations on the Self-Employed Trends tab. Industries shown in italics (Management of Companies and Enterprises, Government, Unclassified Industry) have zero self-employed jobs in every year, since self-employment structurally does not apply to those categories, and are excluded from the trends analysis. The TOTAL row is copied from the source file's total (which includes the suppressed values at their true, non-rounded magnitude).</t>
  </si>
  <si>
    <t>No Ext. Proprietors</t>
  </si>
  <si>
    <t>Incl. Ext. Proprietors</t>
  </si>
  <si>
    <t>Source: Lightcast Q3 2026 Data Set, Summit County, UT Industry Table. "No Ext. Proprietors" columns are from Jobs_Growth_by_Industry_Does_not_Include_Extended_Propritor.xlsx ("2026.3 - QCEW Employees, Non-QCEW Employees, and Self-Employed" datarun). "Incl. Ext. Proprietors" columns are from Job_growth_includes_extended_Proprietor.xlsx ("2026.3 - QCEW Employees, Non-QCEW Employees, Self-Employed, and Extended Proprietors" datarun). Extended proprietors capture additional business owners (e.g., informal/secondary self-employment) not counted in the standard jobs series. The "Unclassified Industry" row (NAICS 99, near-zero in both series) was excluded as not meaningful for trend analysis.</t>
  </si>
  <si>
    <t>2019 Population</t>
  </si>
  <si>
    <t>2020 Population</t>
  </si>
  <si>
    <t>2021 Population</t>
  </si>
  <si>
    <t>2022 Population</t>
  </si>
  <si>
    <t>2023 Population</t>
  </si>
  <si>
    <t>2024 Population</t>
  </si>
  <si>
    <t>2025 Population</t>
  </si>
  <si>
    <t>Under 5 years</t>
  </si>
  <si>
    <t>5 to 9 years</t>
  </si>
  <si>
    <t>10 to 14 years</t>
  </si>
  <si>
    <t>15 to 19 years</t>
  </si>
  <si>
    <t>20 to 24 years</t>
  </si>
  <si>
    <t>25 to 29 years</t>
  </si>
  <si>
    <t>30 to 34 years</t>
  </si>
  <si>
    <t>35 to 39 years</t>
  </si>
  <si>
    <t>40 to 44 years</t>
  </si>
  <si>
    <t>45 to 49 years</t>
  </si>
  <si>
    <t>50 to 54 years</t>
  </si>
  <si>
    <t>55 to 59 years</t>
  </si>
  <si>
    <t>60 to 64 years</t>
  </si>
  <si>
    <t>65 to 69 years</t>
  </si>
  <si>
    <t>70 to 74 years</t>
  </si>
  <si>
    <t>75 to 79 years</t>
  </si>
  <si>
    <t>80 to 84 years</t>
  </si>
  <si>
    <t>85 years and over</t>
  </si>
  <si>
    <t>TOTAL POPULATION</t>
  </si>
  <si>
    <t>Source: Lightcast Q3 2026 Data Set, Summit County, UT Population Demographics Table (Population_Growth_by_Age_Cohort.xlsx), "DemographicRaw" tab, by 5-year age cohort. 2025 figures include a modeled partial-year estimate (non-integer population), consistent with the source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</si>
</sst>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
    <numFmt numFmtId="167" formatCode="#,##0.0"/>
    <numFmt numFmtId="168" formatCode="\+#,##0.0;\-#,##0.0"/>
    <numFmt numFmtId="169" formatCode="\+0.0;\-0.0"/>
    <numFmt numFmtId="170" formatCode="\+#,##0;\-#,##0"/>
    <numFmt numFmtId="171" formatCode="\+0.00;\-0.00"/>
  </numFmts>
  <fonts count="14" x14ac:knownFonts="1">
    <font>
      <sz val="11"/>
      <color theme="1"/>
      <name val="Calibri"/>
      <family val="2"/>
      <charset val="1"/>
    </font>
    <font>
      <b/>
      <sz val="16"/>
      <color rgb="FF1F4E78"/>
      <name val="Arial"/>
      <charset val="1"/>
    </font>
    <font>
      <i/>
      <sz val="10"/>
      <color rgb="FF595959"/>
      <name val="Arial"/>
      <charset val="1"/>
    </font>
    <font>
      <b/>
      <sz val="12"/>
      <color rgb="FFFFFFFF"/>
      <name val="Arial"/>
      <charset val="1"/>
    </font>
    <font>
      <sz val="10"/>
      <color rgb="FF595959"/>
      <name val="Arial"/>
      <charset val="1"/>
    </font>
    <font>
      <b/>
      <sz val="20"/>
      <color rgb="FF1F4E78"/>
      <name val="Arial"/>
      <charset val="1"/>
    </font>
    <font>
      <sz val="11"/>
      <name val="Arial"/>
      <charset val="1"/>
    </font>
    <font>
      <b/>
      <sz val="11"/>
      <color rgb="FFFFFFFF"/>
      <name val="Arial"/>
      <charset val="1"/>
    </font>
    <font>
      <i/>
      <sz val="9"/>
      <color rgb="FF7F7F7F"/>
      <name val="Arial"/>
      <charset val="1"/>
    </font>
    <font>
      <b/>
      <sz val="18"/>
      <color rgb="FF1F4E78"/>
      <name val="Arial"/>
      <charset val="1"/>
    </font>
    <font>
      <b/>
      <sz val="11"/>
      <name val="Arial"/>
      <charset val="1"/>
    </font>
    <font>
      <b/>
      <sz val="13"/>
      <color rgb="FF1F4E78"/>
      <name val="Arial"/>
      <charset val="1"/>
    </font>
    <font>
      <i/>
      <sz val="11"/>
      <name val="Arial"/>
      <charset val="1"/>
    </font>
    <font>
      <b/>
      <sz val="9"/>
      <color rgb="FFFFFFFF"/>
      <name val="Arial"/>
      <charset val="1"/>
    </font>
  </fonts>
  <fills count="8">
    <fill>
      <patternFill patternType="none"/>
    </fill>
    <fill>
      <patternFill patternType="gray125"/>
    </fill>
    <fill>
      <patternFill patternType="solid">
        <fgColor rgb="FF1F4E78"/>
        <bgColor rgb="FF003366"/>
      </patternFill>
    </fill>
    <fill>
      <patternFill patternType="solid">
        <fgColor rgb="FFF2F2F2"/>
        <bgColor rgb="FFF7F9FC"/>
      </patternFill>
    </fill>
    <fill>
      <patternFill patternType="solid">
        <fgColor rgb="FF2E75B6"/>
        <bgColor rgb="FF0066CC"/>
      </patternFill>
    </fill>
    <fill>
      <patternFill patternType="solid">
        <fgColor rgb="FFF7F9FC"/>
        <bgColor rgb="FFFFFFFF"/>
      </patternFill>
    </fill>
    <fill>
      <patternFill patternType="solid">
        <fgColor rgb="FFD9E1F2"/>
        <bgColor rgb="FFF2F2F2"/>
      </patternFill>
    </fill>
    <fill>
      <patternFill patternType="solid">
        <fgColor rgb="FFFFF2CC"/>
        <bgColor rgb="FFF2F2F2"/>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89">
    <xf numFmtId="0" fontId="0" fillId="0" borderId="0" xfId="0"/>
    <xf numFmtId="164" fontId="1" fillId="3" borderId="0" xfId="0" applyNumberFormat="1" applyFont="1" applyFill="1" applyAlignment="1">
      <alignment horizontal="center"/>
    </xf>
    <xf numFmtId="0" fontId="1" fillId="3" borderId="0" xfId="0" applyFont="1" applyFill="1" applyAlignment="1">
      <alignment horizontal="center" wrapText="1"/>
    </xf>
    <xf numFmtId="0" fontId="10" fillId="6" borderId="1" xfId="0" applyFont="1" applyFill="1" applyBorder="1"/>
    <xf numFmtId="3" fontId="9" fillId="3" borderId="0" xfId="0" applyNumberFormat="1" applyFont="1" applyFill="1" applyAlignment="1">
      <alignment horizontal="center" wrapText="1"/>
    </xf>
    <xf numFmtId="0" fontId="11" fillId="3" borderId="0" xfId="0" applyFont="1" applyFill="1" applyAlignment="1">
      <alignment horizontal="center" wrapText="1"/>
    </xf>
    <xf numFmtId="164" fontId="9" fillId="3" borderId="0" xfId="0" applyNumberFormat="1" applyFont="1" applyFill="1" applyAlignment="1">
      <alignment horizontal="center" wrapText="1"/>
    </xf>
    <xf numFmtId="166" fontId="9" fillId="3" borderId="0" xfId="0" applyNumberFormat="1" applyFont="1" applyFill="1" applyAlignment="1">
      <alignment horizontal="center" wrapText="1"/>
    </xf>
    <xf numFmtId="1" fontId="9" fillId="3" borderId="0" xfId="0" applyNumberFormat="1" applyFont="1" applyFill="1" applyAlignment="1">
      <alignment horizontal="center"/>
    </xf>
    <xf numFmtId="164" fontId="9" fillId="3" borderId="0" xfId="0" applyNumberFormat="1" applyFont="1" applyFill="1" applyAlignment="1">
      <alignment horizontal="center"/>
    </xf>
    <xf numFmtId="166" fontId="9" fillId="3" borderId="0" xfId="0" applyNumberFormat="1" applyFont="1" applyFill="1" applyAlignment="1">
      <alignment horizontal="center"/>
    </xf>
    <xf numFmtId="0" fontId="4" fillId="3" borderId="0" xfId="0" applyFont="1" applyFill="1" applyAlignment="1">
      <alignment horizontal="center" wrapText="1"/>
    </xf>
    <xf numFmtId="0" fontId="8" fillId="0" borderId="0" xfId="0" applyFont="1" applyAlignment="1">
      <alignment vertical="top" wrapText="1"/>
    </xf>
    <xf numFmtId="0" fontId="6" fillId="0" borderId="0" xfId="0" applyFont="1" applyAlignment="1">
      <alignment vertical="top" wrapText="1"/>
    </xf>
    <xf numFmtId="0" fontId="3" fillId="2" borderId="0" xfId="0" applyFont="1" applyFill="1"/>
    <xf numFmtId="0" fontId="1" fillId="0" borderId="0" xfId="0" applyFont="1"/>
    <xf numFmtId="0" fontId="2" fillId="0" borderId="0" xfId="0" applyFont="1"/>
    <xf numFmtId="0" fontId="4" fillId="3" borderId="0" xfId="0" applyFont="1" applyFill="1" applyAlignment="1">
      <alignment horizontal="center"/>
    </xf>
    <xf numFmtId="164" fontId="5" fillId="3" borderId="0" xfId="0" applyNumberFormat="1" applyFont="1" applyFill="1" applyAlignment="1">
      <alignment horizontal="center"/>
    </xf>
    <xf numFmtId="0" fontId="5" fillId="3" borderId="0" xfId="0" applyFont="1" applyFill="1" applyAlignment="1">
      <alignment horizontal="center"/>
    </xf>
    <xf numFmtId="0" fontId="7" fillId="4" borderId="0" xfId="0" applyFont="1" applyFill="1" applyAlignment="1">
      <alignment horizontal="center" wrapText="1"/>
    </xf>
    <xf numFmtId="0" fontId="6" fillId="5" borderId="1" xfId="0" applyFont="1" applyFill="1" applyBorder="1" applyAlignment="1">
      <alignment horizontal="center"/>
    </xf>
    <xf numFmtId="164" fontId="6" fillId="5" borderId="1" xfId="0" applyNumberFormat="1" applyFont="1" applyFill="1" applyBorder="1" applyAlignment="1">
      <alignment horizontal="center"/>
    </xf>
    <xf numFmtId="165" fontId="6" fillId="5" borderId="1" xfId="0" applyNumberFormat="1" applyFont="1" applyFill="1" applyBorder="1" applyAlignment="1">
      <alignment horizontal="center"/>
    </xf>
    <xf numFmtId="0" fontId="6" fillId="0" borderId="1" xfId="0" applyFont="1" applyBorder="1" applyAlignment="1">
      <alignment horizontal="center"/>
    </xf>
    <xf numFmtId="164" fontId="6" fillId="0" borderId="1" xfId="0" applyNumberFormat="1" applyFont="1" applyBorder="1" applyAlignment="1">
      <alignment horizontal="center"/>
    </xf>
    <xf numFmtId="165" fontId="6" fillId="0" borderId="1" xfId="0" applyNumberFormat="1" applyFont="1" applyBorder="1" applyAlignment="1">
      <alignment horizontal="center"/>
    </xf>
    <xf numFmtId="0" fontId="6" fillId="5" borderId="1" xfId="0" applyFont="1" applyFill="1" applyBorder="1" applyAlignment="1">
      <alignment horizontal="left"/>
    </xf>
    <xf numFmtId="166" fontId="6" fillId="5" borderId="1" xfId="0" applyNumberFormat="1" applyFont="1" applyFill="1" applyBorder="1" applyAlignment="1">
      <alignment horizontal="center"/>
    </xf>
    <xf numFmtId="10" fontId="6" fillId="5" borderId="1" xfId="0" applyNumberFormat="1" applyFont="1" applyFill="1" applyBorder="1" applyAlignment="1">
      <alignment horizontal="center"/>
    </xf>
    <xf numFmtId="2" fontId="6" fillId="5" borderId="1" xfId="0" applyNumberFormat="1" applyFont="1" applyFill="1" applyBorder="1" applyAlignment="1">
      <alignment horizontal="center"/>
    </xf>
    <xf numFmtId="0" fontId="6" fillId="0" borderId="1" xfId="0" applyFont="1" applyBorder="1" applyAlignment="1">
      <alignment horizontal="left"/>
    </xf>
    <xf numFmtId="166" fontId="6" fillId="0" borderId="1" xfId="0" applyNumberFormat="1" applyFont="1" applyBorder="1" applyAlignment="1">
      <alignment horizontal="center"/>
    </xf>
    <xf numFmtId="10" fontId="6" fillId="0" borderId="1" xfId="0" applyNumberFormat="1" applyFont="1" applyBorder="1" applyAlignment="1">
      <alignment horizontal="center"/>
    </xf>
    <xf numFmtId="2" fontId="6" fillId="0" borderId="1" xfId="0" applyNumberFormat="1" applyFont="1" applyBorder="1" applyAlignment="1">
      <alignment horizontal="center"/>
    </xf>
    <xf numFmtId="0" fontId="10" fillId="5" borderId="1" xfId="0" applyFont="1" applyFill="1" applyBorder="1" applyAlignment="1">
      <alignment horizontal="left"/>
    </xf>
    <xf numFmtId="166" fontId="10" fillId="5" borderId="1" xfId="0" applyNumberFormat="1" applyFont="1" applyFill="1" applyBorder="1" applyAlignment="1">
      <alignment horizontal="center"/>
    </xf>
    <xf numFmtId="164" fontId="10" fillId="5" borderId="1" xfId="0" applyNumberFormat="1" applyFont="1" applyFill="1" applyBorder="1" applyAlignment="1">
      <alignment horizontal="center"/>
    </xf>
    <xf numFmtId="10" fontId="10" fillId="5" borderId="1" xfId="0" applyNumberFormat="1" applyFont="1" applyFill="1" applyBorder="1" applyAlignment="1">
      <alignment horizontal="center"/>
    </xf>
    <xf numFmtId="2" fontId="10" fillId="5" borderId="1" xfId="0" applyNumberFormat="1" applyFont="1" applyFill="1" applyBorder="1" applyAlignment="1">
      <alignment horizontal="center"/>
    </xf>
    <xf numFmtId="0" fontId="10" fillId="5" borderId="1" xfId="0" applyFont="1" applyFill="1" applyBorder="1" applyAlignment="1">
      <alignment horizontal="center"/>
    </xf>
    <xf numFmtId="0" fontId="10" fillId="6" borderId="1" xfId="0" applyFont="1" applyFill="1" applyBorder="1"/>
    <xf numFmtId="166" fontId="10" fillId="6" borderId="1" xfId="0" applyNumberFormat="1" applyFont="1" applyFill="1" applyBorder="1"/>
    <xf numFmtId="164" fontId="10" fillId="6" borderId="1" xfId="0" applyNumberFormat="1" applyFont="1" applyFill="1" applyBorder="1"/>
    <xf numFmtId="10" fontId="10" fillId="6" borderId="1" xfId="0" applyNumberFormat="1" applyFont="1" applyFill="1" applyBorder="1"/>
    <xf numFmtId="167" fontId="6" fillId="0" borderId="1" xfId="0" applyNumberFormat="1" applyFont="1" applyBorder="1" applyAlignment="1">
      <alignment horizontal="center"/>
    </xf>
    <xf numFmtId="168" fontId="6" fillId="0" borderId="1" xfId="0" applyNumberFormat="1" applyFont="1" applyBorder="1" applyAlignment="1">
      <alignment horizontal="center"/>
    </xf>
    <xf numFmtId="167" fontId="6" fillId="5" borderId="1" xfId="0" applyNumberFormat="1" applyFont="1" applyFill="1" applyBorder="1" applyAlignment="1">
      <alignment horizontal="center"/>
    </xf>
    <xf numFmtId="168" fontId="6" fillId="5" borderId="1" xfId="0" applyNumberFormat="1" applyFont="1" applyFill="1" applyBorder="1" applyAlignment="1">
      <alignment horizontal="center"/>
    </xf>
    <xf numFmtId="0" fontId="7" fillId="4" borderId="0" xfId="0" applyFont="1" applyFill="1" applyAlignment="1">
      <alignment horizontal="center"/>
    </xf>
    <xf numFmtId="0" fontId="0" fillId="5" borderId="1" xfId="0" applyFill="1" applyBorder="1"/>
    <xf numFmtId="164" fontId="10" fillId="6" borderId="1" xfId="0" applyNumberFormat="1" applyFont="1" applyFill="1" applyBorder="1" applyAlignment="1">
      <alignment horizontal="center"/>
    </xf>
    <xf numFmtId="169" fontId="6" fillId="0" borderId="1" xfId="0" applyNumberFormat="1" applyFont="1" applyBorder="1" applyAlignment="1">
      <alignment horizontal="center"/>
    </xf>
    <xf numFmtId="169" fontId="6" fillId="5" borderId="1" xfId="0" applyNumberFormat="1" applyFont="1" applyFill="1" applyBorder="1" applyAlignment="1">
      <alignment horizontal="center"/>
    </xf>
    <xf numFmtId="0" fontId="7" fillId="2" borderId="0" xfId="0" applyFont="1" applyFill="1"/>
    <xf numFmtId="0" fontId="7" fillId="2" borderId="0" xfId="0" applyFont="1" applyFill="1" applyAlignment="1">
      <alignment horizontal="center"/>
    </xf>
    <xf numFmtId="0" fontId="10" fillId="0" borderId="0" xfId="0" applyFont="1"/>
    <xf numFmtId="3" fontId="6" fillId="0" borderId="1" xfId="0" applyNumberFormat="1" applyFont="1" applyBorder="1" applyAlignment="1">
      <alignment horizontal="center"/>
    </xf>
    <xf numFmtId="0" fontId="10" fillId="5" borderId="0" xfId="0" applyFont="1" applyFill="1"/>
    <xf numFmtId="3" fontId="6" fillId="5" borderId="1" xfId="0" applyNumberFormat="1" applyFont="1" applyFill="1" applyBorder="1" applyAlignment="1">
      <alignment horizontal="center"/>
    </xf>
    <xf numFmtId="0" fontId="0" fillId="5" borderId="0" xfId="0" applyFill="1"/>
    <xf numFmtId="170" fontId="6" fillId="0" borderId="1" xfId="0" applyNumberFormat="1" applyFont="1" applyBorder="1" applyAlignment="1">
      <alignment horizontal="center"/>
    </xf>
    <xf numFmtId="170" fontId="6" fillId="5" borderId="1" xfId="0" applyNumberFormat="1" applyFont="1" applyFill="1" applyBorder="1" applyAlignment="1">
      <alignment horizontal="center"/>
    </xf>
    <xf numFmtId="171" fontId="6" fillId="5" borderId="1" xfId="0" applyNumberFormat="1" applyFont="1" applyFill="1" applyBorder="1" applyAlignment="1">
      <alignment horizontal="center"/>
    </xf>
    <xf numFmtId="171" fontId="6" fillId="0" borderId="1" xfId="0" applyNumberFormat="1" applyFont="1" applyBorder="1" applyAlignment="1">
      <alignment horizontal="center"/>
    </xf>
    <xf numFmtId="0" fontId="10" fillId="6" borderId="0" xfId="0" applyFont="1" applyFill="1"/>
    <xf numFmtId="164" fontId="6" fillId="6" borderId="0" xfId="0" applyNumberFormat="1" applyFont="1" applyFill="1"/>
    <xf numFmtId="0" fontId="6" fillId="0" borderId="0" xfId="0" applyFont="1"/>
    <xf numFmtId="164" fontId="6" fillId="0" borderId="0" xfId="0" applyNumberFormat="1" applyFont="1"/>
    <xf numFmtId="0" fontId="6" fillId="7" borderId="0" xfId="0" applyFont="1" applyFill="1"/>
    <xf numFmtId="164" fontId="6" fillId="7" borderId="0" xfId="0" applyNumberFormat="1" applyFont="1" applyFill="1"/>
    <xf numFmtId="10" fontId="6" fillId="0" borderId="0" xfId="0" applyNumberFormat="1" applyFont="1"/>
    <xf numFmtId="166" fontId="6" fillId="0" borderId="0" xfId="0" applyNumberFormat="1" applyFont="1"/>
    <xf numFmtId="166" fontId="10" fillId="6" borderId="0" xfId="0" applyNumberFormat="1" applyFont="1" applyFill="1"/>
    <xf numFmtId="0" fontId="7" fillId="2" borderId="0" xfId="0" applyFont="1" applyFill="1" applyAlignment="1">
      <alignment horizontal="center" wrapText="1"/>
    </xf>
    <xf numFmtId="167" fontId="6" fillId="0" borderId="0" xfId="0" applyNumberFormat="1" applyFont="1"/>
    <xf numFmtId="0" fontId="0" fillId="6" borderId="0" xfId="0" applyFill="1"/>
    <xf numFmtId="167" fontId="10" fillId="6" borderId="0" xfId="0" applyNumberFormat="1" applyFont="1" applyFill="1"/>
    <xf numFmtId="0" fontId="6" fillId="0" borderId="0" xfId="0" applyFont="1" applyAlignment="1">
      <alignment horizontal="center"/>
    </xf>
    <xf numFmtId="0" fontId="12" fillId="0" borderId="0" xfId="0" applyFont="1"/>
    <xf numFmtId="167" fontId="12" fillId="0" borderId="0" xfId="0" applyNumberFormat="1" applyFont="1"/>
    <xf numFmtId="0" fontId="13" fillId="4" borderId="0" xfId="0" applyFont="1" applyFill="1" applyAlignment="1">
      <alignment horizontal="center" wrapText="1"/>
    </xf>
    <xf numFmtId="3" fontId="6" fillId="0" borderId="0" xfId="0" applyNumberFormat="1" applyFont="1"/>
    <xf numFmtId="3" fontId="10" fillId="6" borderId="0" xfId="0" applyNumberFormat="1" applyFont="1" applyFill="1"/>
    <xf numFmtId="3" fontId="1" fillId="3" borderId="0" xfId="0" applyNumberFormat="1" applyFont="1" applyFill="1" applyAlignment="1">
      <alignment horizontal="center" wrapText="1"/>
    </xf>
    <xf numFmtId="164" fontId="1" fillId="3" borderId="0" xfId="0" applyNumberFormat="1" applyFont="1" applyFill="1" applyAlignment="1">
      <alignment horizontal="center" wrapText="1"/>
    </xf>
    <xf numFmtId="0" fontId="8" fillId="0" borderId="0" xfId="0" applyFont="1" applyAlignment="1">
      <alignment wrapText="1"/>
    </xf>
    <xf numFmtId="0" fontId="7" fillId="2" borderId="0" xfId="0" applyFont="1" applyFill="1" applyAlignment="1">
      <alignment horizontal="center" vertical="center"/>
    </xf>
    <xf numFmtId="0" fontId="7" fillId="2" borderId="0" xfId="0" applyFont="1" applyFill="1" applyAlignment="1">
      <alignment horizontal="center"/>
    </xf>
  </cellXfs>
  <cellStyles count="1">
    <cellStyle name="Normal" xfId="0" builtinId="0"/>
  </cellStyles>
  <dxfs count="10">
    <dxf>
      <font>
        <color rgb="FF9C0006"/>
        <name val="Arial"/>
        <charset val="1"/>
      </font>
      <fill>
        <patternFill>
          <bgColor rgb="FFFFC7CE"/>
        </patternFill>
      </fill>
    </dxf>
    <dxf>
      <font>
        <color rgb="FF006100"/>
        <name val="Arial"/>
        <charset val="1"/>
      </font>
      <fill>
        <patternFill>
          <bgColor rgb="FFC6EFCE"/>
        </patternFill>
      </fill>
    </dxf>
    <dxf>
      <font>
        <color rgb="FF9C0006"/>
        <name val="Arial"/>
        <charset val="1"/>
      </font>
      <fill>
        <patternFill>
          <bgColor rgb="FFFFC7CE"/>
        </patternFill>
      </fill>
    </dxf>
    <dxf>
      <font>
        <color rgb="FF006100"/>
        <name val="Arial"/>
        <charset val="1"/>
      </font>
      <fill>
        <patternFill>
          <bgColor rgb="FFC6EFCE"/>
        </patternFill>
      </fill>
    </dxf>
    <dxf>
      <font>
        <color rgb="FF9C0006"/>
        <name val="Arial"/>
        <charset val="1"/>
      </font>
      <fill>
        <patternFill>
          <bgColor rgb="FFFFC7CE"/>
        </patternFill>
      </fill>
    </dxf>
    <dxf>
      <font>
        <color rgb="FF006100"/>
        <name val="Arial"/>
        <charset val="1"/>
      </font>
      <fill>
        <patternFill>
          <bgColor rgb="FFC6EFCE"/>
        </patternFill>
      </fill>
    </dxf>
    <dxf>
      <font>
        <color rgb="FF9C0006"/>
        <name val="Arial"/>
        <charset val="1"/>
      </font>
      <fill>
        <patternFill>
          <bgColor rgb="FFFFC7CE"/>
        </patternFill>
      </fill>
    </dxf>
    <dxf>
      <font>
        <color rgb="FF006100"/>
        <name val="Arial"/>
        <charset val="1"/>
      </font>
      <fill>
        <patternFill>
          <bgColor rgb="FFC6EFCE"/>
        </patternFill>
      </fill>
    </dxf>
    <dxf>
      <font>
        <color rgb="FF9C0006"/>
        <name val="Arial"/>
        <charset val="1"/>
      </font>
      <fill>
        <patternFill>
          <bgColor rgb="FFFFC7CE"/>
        </patternFill>
      </fill>
    </dxf>
    <dxf>
      <font>
        <color rgb="FF006100"/>
        <name val="Arial"/>
        <charset val="1"/>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BFBFBF"/>
      <rgbColor rgb="FF7F7F7F"/>
      <rgbColor rgb="FF9999FF"/>
      <rgbColor rgb="FF993366"/>
      <rgbColor rgb="FFFFF2CC"/>
      <rgbColor rgb="FFF2F2F2"/>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F7F9FC"/>
      <rgbColor rgb="FFC6EFCE"/>
      <rgbColor rgb="FFFFFF99"/>
      <rgbColor rgb="FF99CCFF"/>
      <rgbColor rgb="FFFF99CC"/>
      <rgbColor rgb="FFCC99FF"/>
      <rgbColor rgb="FFFFC7CE"/>
      <rgbColor rgb="FF2E75B6"/>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1F4E78"/>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31"/>
  <sheetViews>
    <sheetView showGridLines="0" tabSelected="1" zoomScaleNormal="100" workbookViewId="0"/>
  </sheetViews>
  <sheetFormatPr defaultColWidth="8.7109375" defaultRowHeight="15" x14ac:dyDescent="0.25"/>
  <cols>
    <col min="1" max="1" width="3" customWidth="1"/>
    <col min="2" max="5" width="26" customWidth="1"/>
    <col min="6" max="7" width="20" customWidth="1"/>
  </cols>
  <sheetData>
    <row r="2" spans="2:5" ht="19.5" customHeight="1" x14ac:dyDescent="0.3">
      <c r="B2" s="15" t="s">
        <v>0</v>
      </c>
    </row>
    <row r="3" spans="2:5" ht="15" customHeight="1" x14ac:dyDescent="0.25">
      <c r="B3" s="16" t="s">
        <v>1</v>
      </c>
    </row>
    <row r="4" spans="2:5" ht="19.5" customHeight="1" x14ac:dyDescent="0.25">
      <c r="B4" s="14" t="s">
        <v>2</v>
      </c>
      <c r="C4" s="14"/>
      <c r="D4" s="14"/>
      <c r="E4" s="14"/>
    </row>
    <row r="5" spans="2:5" ht="15" customHeight="1" x14ac:dyDescent="0.25">
      <c r="B5" s="17" t="s">
        <v>3</v>
      </c>
      <c r="C5" s="17" t="s">
        <v>4</v>
      </c>
      <c r="D5" s="17" t="s">
        <v>5</v>
      </c>
      <c r="E5" s="17" t="s">
        <v>6</v>
      </c>
    </row>
    <row r="6" spans="2:5" ht="30" customHeight="1" x14ac:dyDescent="0.4">
      <c r="B6" s="18">
        <f>Data!H25</f>
        <v>3.1E-2</v>
      </c>
      <c r="C6" s="18">
        <f>Data!H3</f>
        <v>3.6999999999999998E-2</v>
      </c>
      <c r="D6" s="18">
        <f>Data!H2</f>
        <v>4.2999999999999997E-2</v>
      </c>
      <c r="E6" s="19" t="str">
        <f>Data!H38&amp;" of "&amp;Data!H39</f>
        <v>1 of 29</v>
      </c>
    </row>
    <row r="8" spans="2:5" ht="19.5" customHeight="1" x14ac:dyDescent="0.25">
      <c r="B8" s="14" t="s">
        <v>7</v>
      </c>
      <c r="C8" s="14"/>
      <c r="D8" s="14"/>
      <c r="E8" s="14"/>
    </row>
    <row r="10" spans="2:5" ht="48" customHeight="1" x14ac:dyDescent="0.25">
      <c r="B10" s="13" t="s">
        <v>8</v>
      </c>
      <c r="C10" s="13"/>
      <c r="D10" s="13"/>
      <c r="E10" s="13"/>
    </row>
    <row r="11" spans="2:5" ht="6" customHeight="1" x14ac:dyDescent="0.25">
      <c r="B11" s="13"/>
      <c r="C11" s="13"/>
      <c r="D11" s="13"/>
      <c r="E11" s="13"/>
    </row>
    <row r="12" spans="2:5" ht="48" customHeight="1" x14ac:dyDescent="0.25">
      <c r="B12" s="13" t="s">
        <v>9</v>
      </c>
      <c r="C12" s="13"/>
      <c r="D12" s="13"/>
      <c r="E12" s="13"/>
    </row>
    <row r="13" spans="2:5" ht="6" customHeight="1" x14ac:dyDescent="0.25">
      <c r="B13" s="13"/>
      <c r="C13" s="13"/>
      <c r="D13" s="13"/>
      <c r="E13" s="13"/>
    </row>
    <row r="14" spans="2:5" ht="48" customHeight="1" x14ac:dyDescent="0.25">
      <c r="B14" s="13" t="s">
        <v>10</v>
      </c>
      <c r="C14" s="13"/>
      <c r="D14" s="13"/>
      <c r="E14" s="13"/>
    </row>
    <row r="15" spans="2:5" ht="6" customHeight="1" x14ac:dyDescent="0.25">
      <c r="B15" s="13"/>
      <c r="C15" s="13"/>
      <c r="D15" s="13"/>
      <c r="E15" s="13"/>
    </row>
    <row r="16" spans="2:5" ht="48" customHeight="1" x14ac:dyDescent="0.25">
      <c r="B16" s="13" t="s">
        <v>11</v>
      </c>
      <c r="C16" s="13"/>
      <c r="D16" s="13"/>
      <c r="E16" s="13"/>
    </row>
    <row r="18" spans="2:7" ht="19.5" customHeight="1" x14ac:dyDescent="0.25">
      <c r="B18" s="14" t="s">
        <v>12</v>
      </c>
      <c r="C18" s="14"/>
      <c r="D18" s="14"/>
      <c r="E18" s="14"/>
    </row>
    <row r="19" spans="2:7" ht="26.25" customHeight="1" x14ac:dyDescent="0.25">
      <c r="B19" s="20" t="s">
        <v>13</v>
      </c>
      <c r="C19" s="20" t="s">
        <v>3</v>
      </c>
      <c r="D19" s="20" t="s">
        <v>4</v>
      </c>
      <c r="E19" s="20" t="s">
        <v>5</v>
      </c>
      <c r="F19" s="20" t="s">
        <v>14</v>
      </c>
      <c r="G19" s="20" t="s">
        <v>15</v>
      </c>
    </row>
    <row r="20" spans="2:7" ht="15" customHeight="1" x14ac:dyDescent="0.25">
      <c r="B20" s="21" t="s">
        <v>16</v>
      </c>
      <c r="C20" s="22">
        <f>Data!B25</f>
        <v>3.1E-2</v>
      </c>
      <c r="D20" s="22">
        <f>Data!B3</f>
        <v>3.6999999999999998E-2</v>
      </c>
      <c r="E20" s="22">
        <f>Data!B2</f>
        <v>4.4999999999999998E-2</v>
      </c>
      <c r="F20" s="23">
        <f t="shared" ref="F20:F26" si="0">(C20-D20)*100</f>
        <v>-0.59999999999999987</v>
      </c>
      <c r="G20" s="23">
        <f t="shared" ref="G20:G26" si="1">(C20-E20)*100</f>
        <v>-1.4</v>
      </c>
    </row>
    <row r="21" spans="2:7" ht="15" customHeight="1" x14ac:dyDescent="0.25">
      <c r="B21" s="24" t="s">
        <v>17</v>
      </c>
      <c r="C21" s="25">
        <f>Data!C25</f>
        <v>3.1604E-2</v>
      </c>
      <c r="D21" s="25">
        <f>Data!C3</f>
        <v>3.6999999999999998E-2</v>
      </c>
      <c r="E21" s="25">
        <f>Data!C2</f>
        <v>4.3999999999999997E-2</v>
      </c>
      <c r="F21" s="26">
        <f t="shared" si="0"/>
        <v>-0.53959999999999986</v>
      </c>
      <c r="G21" s="26">
        <f t="shared" si="1"/>
        <v>-1.2395999999999998</v>
      </c>
    </row>
    <row r="22" spans="2:7" ht="15" customHeight="1" x14ac:dyDescent="0.25">
      <c r="B22" s="21" t="s">
        <v>18</v>
      </c>
      <c r="C22" s="22">
        <f>Data!D25</f>
        <v>3.2009000000000003E-2</v>
      </c>
      <c r="D22" s="22">
        <f>Data!D3</f>
        <v>3.7999999999999999E-2</v>
      </c>
      <c r="E22" s="22">
        <f>Data!D2</f>
        <v>4.2999999999999997E-2</v>
      </c>
      <c r="F22" s="23">
        <f t="shared" si="0"/>
        <v>-0.59909999999999963</v>
      </c>
      <c r="G22" s="23">
        <f t="shared" si="1"/>
        <v>-1.0990999999999993</v>
      </c>
    </row>
    <row r="23" spans="2:7" ht="15" customHeight="1" x14ac:dyDescent="0.25">
      <c r="B23" s="24" t="s">
        <v>19</v>
      </c>
      <c r="C23" s="25">
        <f>Data!E25</f>
        <v>3.3000000000000002E-2</v>
      </c>
      <c r="D23" s="25">
        <f>Data!E3</f>
        <v>3.7999999999999999E-2</v>
      </c>
      <c r="E23" s="25">
        <f>Data!E2</f>
        <v>4.3999999999999997E-2</v>
      </c>
      <c r="F23" s="26">
        <f t="shared" si="0"/>
        <v>-0.49999999999999978</v>
      </c>
      <c r="G23" s="26">
        <f t="shared" si="1"/>
        <v>-1.0999999999999996</v>
      </c>
    </row>
    <row r="24" spans="2:7" ht="15" customHeight="1" x14ac:dyDescent="0.25">
      <c r="B24" s="21" t="s">
        <v>20</v>
      </c>
      <c r="C24" s="22">
        <f>Data!F25</f>
        <v>3.5999999999999997E-2</v>
      </c>
      <c r="D24" s="22">
        <f>Data!F3</f>
        <v>3.7999999999999999E-2</v>
      </c>
      <c r="E24" s="22">
        <f>Data!F2</f>
        <v>4.2999999999999997E-2</v>
      </c>
      <c r="F24" s="23">
        <f t="shared" si="0"/>
        <v>-0.20000000000000018</v>
      </c>
      <c r="G24" s="23">
        <f t="shared" si="1"/>
        <v>-0.7</v>
      </c>
    </row>
    <row r="25" spans="2:7" ht="15" customHeight="1" x14ac:dyDescent="0.25">
      <c r="B25" s="24" t="s">
        <v>21</v>
      </c>
      <c r="C25" s="25">
        <f>Data!G25</f>
        <v>3.1E-2</v>
      </c>
      <c r="D25" s="25">
        <f>Data!G3</f>
        <v>3.7999999999999999E-2</v>
      </c>
      <c r="E25" s="25">
        <f>Data!G2</f>
        <v>4.2999999999999997E-2</v>
      </c>
      <c r="F25" s="26">
        <f t="shared" si="0"/>
        <v>-0.7</v>
      </c>
      <c r="G25" s="26">
        <f t="shared" si="1"/>
        <v>-1.1999999999999997</v>
      </c>
    </row>
    <row r="26" spans="2:7" ht="15" customHeight="1" x14ac:dyDescent="0.25">
      <c r="B26" s="21" t="s">
        <v>22</v>
      </c>
      <c r="C26" s="22">
        <f>Data!H25</f>
        <v>3.1E-2</v>
      </c>
      <c r="D26" s="22">
        <f>Data!H3</f>
        <v>3.6999999999999998E-2</v>
      </c>
      <c r="E26" s="22">
        <f>Data!H2</f>
        <v>4.2999999999999997E-2</v>
      </c>
      <c r="F26" s="23">
        <f t="shared" si="0"/>
        <v>-0.59999999999999987</v>
      </c>
      <c r="G26" s="23">
        <f t="shared" si="1"/>
        <v>-1.1999999999999997</v>
      </c>
    </row>
    <row r="29" spans="2:7" ht="19.5" customHeight="1" x14ac:dyDescent="0.25">
      <c r="B29" s="14" t="s">
        <v>23</v>
      </c>
      <c r="C29" s="14"/>
      <c r="D29" s="14"/>
      <c r="E29" s="14"/>
    </row>
    <row r="30" spans="2:7" ht="25.5" customHeight="1" x14ac:dyDescent="0.25">
      <c r="B30" s="12" t="s">
        <v>24</v>
      </c>
      <c r="C30" s="12"/>
      <c r="D30" s="12"/>
      <c r="E30" s="12"/>
      <c r="F30" s="12"/>
      <c r="G30" s="12"/>
    </row>
    <row r="31" spans="2:7" ht="25.5" customHeight="1" x14ac:dyDescent="0.25">
      <c r="B31" s="12" t="s">
        <v>25</v>
      </c>
      <c r="C31" s="12"/>
      <c r="D31" s="12"/>
      <c r="E31" s="12"/>
      <c r="F31" s="12"/>
      <c r="G31" s="12"/>
    </row>
  </sheetData>
  <mergeCells count="13">
    <mergeCell ref="B29:E29"/>
    <mergeCell ref="B30:G30"/>
    <mergeCell ref="B31:G31"/>
    <mergeCell ref="B13:E13"/>
    <mergeCell ref="B14:E14"/>
    <mergeCell ref="B15:E15"/>
    <mergeCell ref="B16:E16"/>
    <mergeCell ref="B18:E18"/>
    <mergeCell ref="B4:E4"/>
    <mergeCell ref="B8:E8"/>
    <mergeCell ref="B10:E10"/>
    <mergeCell ref="B11:E11"/>
    <mergeCell ref="B12:E12"/>
  </mergeCells>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5"/>
  <sheetViews>
    <sheetView showGridLines="0" zoomScaleNormal="100" workbookViewId="0">
      <pane xSplit="2" ySplit="1" topLeftCell="C2" activePane="bottomRight" state="frozen"/>
      <selection pane="topRight" activeCell="C1" sqref="C1"/>
      <selection pane="bottomLeft" activeCell="A2" sqref="A2"/>
      <selection pane="bottomRight"/>
    </sheetView>
  </sheetViews>
  <sheetFormatPr defaultColWidth="8.7109375" defaultRowHeight="15" x14ac:dyDescent="0.25"/>
  <cols>
    <col min="1" max="1" width="9" customWidth="1"/>
    <col min="2" max="2" width="42" customWidth="1"/>
    <col min="3" max="9" width="15" customWidth="1"/>
  </cols>
  <sheetData>
    <row r="1" spans="1:9" ht="15" customHeight="1" x14ac:dyDescent="0.25">
      <c r="A1" s="55" t="s">
        <v>35</v>
      </c>
      <c r="B1" s="55" t="s">
        <v>36</v>
      </c>
      <c r="C1" s="55" t="s">
        <v>37</v>
      </c>
      <c r="D1" s="55" t="s">
        <v>221</v>
      </c>
      <c r="E1" s="55" t="s">
        <v>222</v>
      </c>
      <c r="F1" s="55" t="s">
        <v>223</v>
      </c>
      <c r="G1" s="55" t="s">
        <v>224</v>
      </c>
      <c r="H1" s="55" t="s">
        <v>225</v>
      </c>
      <c r="I1" s="55" t="s">
        <v>38</v>
      </c>
    </row>
    <row r="2" spans="1:9" ht="15" customHeight="1" x14ac:dyDescent="0.25">
      <c r="A2" s="67">
        <v>11</v>
      </c>
      <c r="B2" s="67" t="s">
        <v>226</v>
      </c>
      <c r="C2" s="72">
        <v>22857905.224599998</v>
      </c>
      <c r="D2" s="72">
        <v>31409967.402399998</v>
      </c>
      <c r="E2" s="72">
        <v>36754771.711400002</v>
      </c>
      <c r="F2" s="72">
        <v>48485286.6677</v>
      </c>
      <c r="G2" s="72">
        <v>32409163.603399999</v>
      </c>
      <c r="H2" s="72">
        <v>42251721.410400003</v>
      </c>
      <c r="I2" s="72">
        <v>51707800.327200003</v>
      </c>
    </row>
    <row r="3" spans="1:9" ht="15" customHeight="1" x14ac:dyDescent="0.25">
      <c r="A3" s="67">
        <v>21</v>
      </c>
      <c r="B3" s="67" t="s">
        <v>227</v>
      </c>
      <c r="C3" s="72">
        <v>27579921.050099999</v>
      </c>
      <c r="D3" s="72">
        <v>34514986.562899999</v>
      </c>
      <c r="E3" s="72">
        <v>40178322.424900003</v>
      </c>
      <c r="F3" s="72">
        <v>77585040.803800002</v>
      </c>
      <c r="G3" s="72">
        <v>40480648.100299999</v>
      </c>
      <c r="H3" s="72">
        <v>30430901.247699998</v>
      </c>
      <c r="I3" s="72">
        <v>40723598.037100002</v>
      </c>
    </row>
    <row r="4" spans="1:9" ht="15" customHeight="1" x14ac:dyDescent="0.25">
      <c r="A4" s="67">
        <v>22</v>
      </c>
      <c r="B4" s="67" t="s">
        <v>228</v>
      </c>
      <c r="C4" s="72">
        <v>23682634.5898</v>
      </c>
      <c r="D4" s="72">
        <v>25049713.671500001</v>
      </c>
      <c r="E4" s="72">
        <v>31729473.4877</v>
      </c>
      <c r="F4" s="72">
        <v>43033179.283399999</v>
      </c>
      <c r="G4" s="72">
        <v>44681024.272399999</v>
      </c>
      <c r="H4" s="72">
        <v>45628913.1664</v>
      </c>
      <c r="I4" s="72">
        <v>54554329.710900001</v>
      </c>
    </row>
    <row r="5" spans="1:9" ht="15" customHeight="1" x14ac:dyDescent="0.25">
      <c r="A5" s="67">
        <v>23</v>
      </c>
      <c r="B5" s="67" t="s">
        <v>229</v>
      </c>
      <c r="C5" s="72">
        <v>193121876.63299999</v>
      </c>
      <c r="D5" s="72">
        <v>210023805.95699999</v>
      </c>
      <c r="E5" s="72">
        <v>253639134.52500001</v>
      </c>
      <c r="F5" s="72">
        <v>298831864.25599998</v>
      </c>
      <c r="G5" s="72">
        <v>347567214.13</v>
      </c>
      <c r="H5" s="72">
        <v>394130136.62400001</v>
      </c>
      <c r="I5" s="72">
        <v>429983832.26099998</v>
      </c>
    </row>
    <row r="6" spans="1:9" ht="15" customHeight="1" x14ac:dyDescent="0.25">
      <c r="A6" s="67">
        <v>31</v>
      </c>
      <c r="B6" s="67" t="s">
        <v>230</v>
      </c>
      <c r="C6" s="72">
        <v>139150921.361</v>
      </c>
      <c r="D6" s="72">
        <v>150459723.53400001</v>
      </c>
      <c r="E6" s="72">
        <v>177700653.32699999</v>
      </c>
      <c r="F6" s="72">
        <v>212962912.50400001</v>
      </c>
      <c r="G6" s="72">
        <v>229944268.53400001</v>
      </c>
      <c r="H6" s="72">
        <v>240614652.70500001</v>
      </c>
      <c r="I6" s="72">
        <v>223159835.15099999</v>
      </c>
    </row>
    <row r="7" spans="1:9" ht="15" customHeight="1" x14ac:dyDescent="0.25">
      <c r="A7" s="67">
        <v>42</v>
      </c>
      <c r="B7" s="67" t="s">
        <v>231</v>
      </c>
      <c r="C7" s="72">
        <v>89547828.392299995</v>
      </c>
      <c r="D7" s="72">
        <v>97749802.865700006</v>
      </c>
      <c r="E7" s="72">
        <v>131682376.873</v>
      </c>
      <c r="F7" s="72">
        <v>163395809.56099999</v>
      </c>
      <c r="G7" s="72">
        <v>168197192.292</v>
      </c>
      <c r="H7" s="72">
        <v>164417942.33199999</v>
      </c>
      <c r="I7" s="72">
        <v>183373843.669</v>
      </c>
    </row>
    <row r="8" spans="1:9" ht="15" customHeight="1" x14ac:dyDescent="0.25">
      <c r="A8" s="67">
        <v>44</v>
      </c>
      <c r="B8" s="67" t="s">
        <v>232</v>
      </c>
      <c r="C8" s="72">
        <v>270234366.81099999</v>
      </c>
      <c r="D8" s="72">
        <v>274079301.67900002</v>
      </c>
      <c r="E8" s="72">
        <v>308355595.46100003</v>
      </c>
      <c r="F8" s="72">
        <v>355836059.22299999</v>
      </c>
      <c r="G8" s="72">
        <v>398314325.20499998</v>
      </c>
      <c r="H8" s="72">
        <v>429152908.66000003</v>
      </c>
      <c r="I8" s="72">
        <v>451142877.24000001</v>
      </c>
    </row>
    <row r="9" spans="1:9" ht="15" customHeight="1" x14ac:dyDescent="0.25">
      <c r="A9" s="67">
        <v>48</v>
      </c>
      <c r="B9" s="67" t="s">
        <v>233</v>
      </c>
      <c r="C9" s="72">
        <v>32806620.751400001</v>
      </c>
      <c r="D9" s="72">
        <v>32102029.848299999</v>
      </c>
      <c r="E9" s="72">
        <v>41248035.628200002</v>
      </c>
      <c r="F9" s="72">
        <v>48521651.915100001</v>
      </c>
      <c r="G9" s="72">
        <v>47922952.680299997</v>
      </c>
      <c r="H9" s="72">
        <v>39845008.872400001</v>
      </c>
      <c r="I9" s="72">
        <v>37325789.787799999</v>
      </c>
    </row>
    <row r="10" spans="1:9" ht="15" customHeight="1" x14ac:dyDescent="0.25">
      <c r="A10" s="67">
        <v>51</v>
      </c>
      <c r="B10" s="67" t="s">
        <v>234</v>
      </c>
      <c r="C10" s="72">
        <v>122828051.293</v>
      </c>
      <c r="D10" s="72">
        <v>154050984.49399999</v>
      </c>
      <c r="E10" s="72">
        <v>163344995.99700001</v>
      </c>
      <c r="F10" s="72">
        <v>228366008.294</v>
      </c>
      <c r="G10" s="72">
        <v>278556000.52999997</v>
      </c>
      <c r="H10" s="72">
        <v>236103349.93900001</v>
      </c>
      <c r="I10" s="72">
        <v>197473547.80700001</v>
      </c>
    </row>
    <row r="11" spans="1:9" ht="15" customHeight="1" x14ac:dyDescent="0.25">
      <c r="A11" s="67">
        <v>52</v>
      </c>
      <c r="B11" s="67" t="s">
        <v>235</v>
      </c>
      <c r="C11" s="72">
        <v>240067864.39399999</v>
      </c>
      <c r="D11" s="72">
        <v>281561128.60900003</v>
      </c>
      <c r="E11" s="72">
        <v>345502002.46200001</v>
      </c>
      <c r="F11" s="72">
        <v>409401328.13300002</v>
      </c>
      <c r="G11" s="72">
        <v>380903645.44199997</v>
      </c>
      <c r="H11" s="72">
        <v>419439387.58899999</v>
      </c>
      <c r="I11" s="72">
        <v>459200342.75</v>
      </c>
    </row>
    <row r="12" spans="1:9" ht="15" customHeight="1" x14ac:dyDescent="0.25">
      <c r="A12" s="67">
        <v>53</v>
      </c>
      <c r="B12" s="67" t="s">
        <v>236</v>
      </c>
      <c r="C12" s="72">
        <v>454498752.86500001</v>
      </c>
      <c r="D12" s="72">
        <v>441510313.167</v>
      </c>
      <c r="E12" s="72">
        <v>519021620.73500001</v>
      </c>
      <c r="F12" s="72">
        <v>553542801.68400002</v>
      </c>
      <c r="G12" s="72">
        <v>689775286.81099999</v>
      </c>
      <c r="H12" s="72">
        <v>730967142.09500003</v>
      </c>
      <c r="I12" s="72">
        <v>785003324.06799996</v>
      </c>
    </row>
    <row r="13" spans="1:9" ht="15" customHeight="1" x14ac:dyDescent="0.25">
      <c r="A13" s="67">
        <v>54</v>
      </c>
      <c r="B13" s="67" t="s">
        <v>237</v>
      </c>
      <c r="C13" s="72">
        <v>289785082.06099999</v>
      </c>
      <c r="D13" s="72">
        <v>276801544.38700002</v>
      </c>
      <c r="E13" s="72">
        <v>349779657.93900001</v>
      </c>
      <c r="F13" s="72">
        <v>420954091.06400001</v>
      </c>
      <c r="G13" s="72">
        <v>452188929.81800002</v>
      </c>
      <c r="H13" s="72">
        <v>479771199.78100002</v>
      </c>
      <c r="I13" s="72">
        <v>482487842.42799997</v>
      </c>
    </row>
    <row r="14" spans="1:9" ht="15" customHeight="1" x14ac:dyDescent="0.25">
      <c r="A14" s="67">
        <v>55</v>
      </c>
      <c r="B14" s="67" t="s">
        <v>238</v>
      </c>
      <c r="C14" s="72">
        <v>40502832.566699997</v>
      </c>
      <c r="D14" s="72">
        <v>37166262.588299997</v>
      </c>
      <c r="E14" s="72">
        <v>38933506.228299998</v>
      </c>
      <c r="F14" s="72">
        <v>57955364.6404</v>
      </c>
      <c r="G14" s="72">
        <v>62254531.479699999</v>
      </c>
      <c r="H14" s="72">
        <v>67879783.889899999</v>
      </c>
      <c r="I14" s="72">
        <v>71194313.658899993</v>
      </c>
    </row>
    <row r="15" spans="1:9" ht="15" customHeight="1" x14ac:dyDescent="0.25">
      <c r="A15" s="67">
        <v>56</v>
      </c>
      <c r="B15" s="67" t="s">
        <v>239</v>
      </c>
      <c r="C15" s="72">
        <v>84393858.977200001</v>
      </c>
      <c r="D15" s="72">
        <v>75074888.761899993</v>
      </c>
      <c r="E15" s="72">
        <v>95402878.215299994</v>
      </c>
      <c r="F15" s="72">
        <v>107461210.24699999</v>
      </c>
      <c r="G15" s="72">
        <v>114416391.557</v>
      </c>
      <c r="H15" s="72">
        <v>131021818.693</v>
      </c>
      <c r="I15" s="72">
        <v>150317190.56299999</v>
      </c>
    </row>
    <row r="16" spans="1:9" ht="15" customHeight="1" x14ac:dyDescent="0.25">
      <c r="A16" s="67">
        <v>61</v>
      </c>
      <c r="B16" s="67" t="s">
        <v>240</v>
      </c>
      <c r="C16" s="72">
        <v>24277837.483100001</v>
      </c>
      <c r="D16" s="72">
        <v>20641031.387400001</v>
      </c>
      <c r="E16" s="72">
        <v>21687231.498100001</v>
      </c>
      <c r="F16" s="72">
        <v>27285849.8818</v>
      </c>
      <c r="G16" s="72">
        <v>29068769.388900001</v>
      </c>
      <c r="H16" s="72">
        <v>30537972.884599999</v>
      </c>
      <c r="I16" s="72">
        <v>33223161.203699999</v>
      </c>
    </row>
    <row r="17" spans="1:9" ht="15" customHeight="1" x14ac:dyDescent="0.25">
      <c r="A17" s="67">
        <v>62</v>
      </c>
      <c r="B17" s="67" t="s">
        <v>241</v>
      </c>
      <c r="C17" s="72">
        <v>147046663.31</v>
      </c>
      <c r="D17" s="72">
        <v>152823861.18000001</v>
      </c>
      <c r="E17" s="72">
        <v>162358496.79300001</v>
      </c>
      <c r="F17" s="72">
        <v>184733061.32600001</v>
      </c>
      <c r="G17" s="72">
        <v>213529858.655</v>
      </c>
      <c r="H17" s="72">
        <v>238502960.77399999</v>
      </c>
      <c r="I17" s="72">
        <v>273879008.94700003</v>
      </c>
    </row>
    <row r="18" spans="1:9" ht="15" customHeight="1" x14ac:dyDescent="0.25">
      <c r="A18" s="67">
        <v>71</v>
      </c>
      <c r="B18" s="67" t="s">
        <v>242</v>
      </c>
      <c r="C18" s="72">
        <v>266842096.433</v>
      </c>
      <c r="D18" s="72">
        <v>175203838.498</v>
      </c>
      <c r="E18" s="72">
        <v>227756311.79100001</v>
      </c>
      <c r="F18" s="72">
        <v>299794553.97500002</v>
      </c>
      <c r="G18" s="72">
        <v>314769563.14999998</v>
      </c>
      <c r="H18" s="72">
        <v>355813666.16799998</v>
      </c>
      <c r="I18" s="72">
        <v>384513070.88800001</v>
      </c>
    </row>
    <row r="19" spans="1:9" ht="15" customHeight="1" x14ac:dyDescent="0.25">
      <c r="A19" s="67">
        <v>72</v>
      </c>
      <c r="B19" s="67" t="s">
        <v>243</v>
      </c>
      <c r="C19" s="72">
        <v>483905446.40799999</v>
      </c>
      <c r="D19" s="72">
        <v>328156558.41900003</v>
      </c>
      <c r="E19" s="72">
        <v>499512589.764</v>
      </c>
      <c r="F19" s="72">
        <v>560624517.90600002</v>
      </c>
      <c r="G19" s="72">
        <v>730616842.73099995</v>
      </c>
      <c r="H19" s="72">
        <v>774627474.77699995</v>
      </c>
      <c r="I19" s="72">
        <v>844932961.58200002</v>
      </c>
    </row>
    <row r="20" spans="1:9" ht="15" customHeight="1" x14ac:dyDescent="0.25">
      <c r="A20" s="67">
        <v>81</v>
      </c>
      <c r="B20" s="67" t="s">
        <v>244</v>
      </c>
      <c r="C20" s="72">
        <v>80565045.9586</v>
      </c>
      <c r="D20" s="72">
        <v>71488198.174799994</v>
      </c>
      <c r="E20" s="72">
        <v>79815408.662400007</v>
      </c>
      <c r="F20" s="72">
        <v>96817612.361300007</v>
      </c>
      <c r="G20" s="72">
        <v>108360087.949</v>
      </c>
      <c r="H20" s="72">
        <v>116574550.499</v>
      </c>
      <c r="I20" s="72">
        <v>120652048.36399999</v>
      </c>
    </row>
    <row r="21" spans="1:9" ht="15" customHeight="1" x14ac:dyDescent="0.25">
      <c r="A21" s="67">
        <v>90</v>
      </c>
      <c r="B21" s="67" t="s">
        <v>245</v>
      </c>
      <c r="C21" s="72">
        <v>212015326.78</v>
      </c>
      <c r="D21" s="72">
        <v>210823951.57100001</v>
      </c>
      <c r="E21" s="72">
        <v>217433004.204</v>
      </c>
      <c r="F21" s="72">
        <v>234035895.308</v>
      </c>
      <c r="G21" s="72">
        <v>265363717.72799999</v>
      </c>
      <c r="H21" s="72">
        <v>324751198.875</v>
      </c>
      <c r="I21" s="72">
        <v>352780225.02600002</v>
      </c>
    </row>
    <row r="22" spans="1:9" ht="15" customHeight="1" x14ac:dyDescent="0.25">
      <c r="A22" s="67"/>
      <c r="B22" s="56" t="s">
        <v>246</v>
      </c>
      <c r="C22" s="72">
        <v>765295215.72899997</v>
      </c>
      <c r="D22" s="72">
        <v>761011009.426</v>
      </c>
      <c r="E22" s="72">
        <v>970274913.85399997</v>
      </c>
      <c r="F22" s="72">
        <v>1156978213.0999999</v>
      </c>
      <c r="G22" s="72">
        <v>1302317083.01</v>
      </c>
      <c r="H22" s="72">
        <v>1384590881.78</v>
      </c>
      <c r="I22" s="72">
        <v>1375584279.9200001</v>
      </c>
    </row>
    <row r="23" spans="1:9" ht="15" customHeight="1" x14ac:dyDescent="0.25">
      <c r="A23" s="65"/>
      <c r="B23" s="65" t="s">
        <v>247</v>
      </c>
      <c r="C23" s="73">
        <f t="shared" ref="C23:I23" si="0">SUM(C2:C22)</f>
        <v>4011006149.0718002</v>
      </c>
      <c r="D23" s="73">
        <f t="shared" si="0"/>
        <v>3841702902.1842003</v>
      </c>
      <c r="E23" s="73">
        <f t="shared" si="0"/>
        <v>4712110981.5812998</v>
      </c>
      <c r="F23" s="73">
        <f t="shared" si="0"/>
        <v>5586602312.1345005</v>
      </c>
      <c r="G23" s="73">
        <f t="shared" si="0"/>
        <v>6251637497.0670004</v>
      </c>
      <c r="H23" s="73">
        <f t="shared" si="0"/>
        <v>6677053572.7623997</v>
      </c>
      <c r="I23" s="73">
        <f t="shared" si="0"/>
        <v>7003213223.3896008</v>
      </c>
    </row>
    <row r="25" spans="1:9" ht="15" customHeight="1" x14ac:dyDescent="0.25">
      <c r="A25" s="86" t="s">
        <v>248</v>
      </c>
      <c r="B25" s="86"/>
      <c r="C25" s="86"/>
      <c r="D25" s="86"/>
      <c r="E25" s="86"/>
      <c r="F25" s="86"/>
      <c r="G25" s="86"/>
      <c r="H25" s="86"/>
      <c r="I25" s="86"/>
    </row>
  </sheetData>
  <mergeCells count="1">
    <mergeCell ref="A25:I25"/>
  </mergeCells>
  <pageMargins left="0.75" right="0.75" top="1" bottom="1"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6"/>
  <sheetViews>
    <sheetView showGridLines="0" zoomScaleNormal="100" workbookViewId="0">
      <pane xSplit="2" ySplit="1" topLeftCell="C2" activePane="bottomRight" state="frozen"/>
      <selection pane="topRight" activeCell="C1" sqref="C1"/>
      <selection pane="bottomLeft" activeCell="A2" sqref="A2"/>
      <selection pane="bottomRight"/>
    </sheetView>
  </sheetViews>
  <sheetFormatPr defaultColWidth="8.7109375" defaultRowHeight="15" x14ac:dyDescent="0.25"/>
  <cols>
    <col min="1" max="1" width="10" customWidth="1"/>
    <col min="2" max="2" width="46" customWidth="1"/>
    <col min="3" max="9" width="14" customWidth="1"/>
  </cols>
  <sheetData>
    <row r="1" spans="1:9" ht="26.25" customHeight="1" x14ac:dyDescent="0.25">
      <c r="A1" s="74" t="s">
        <v>61</v>
      </c>
      <c r="B1" s="74" t="s">
        <v>62</v>
      </c>
      <c r="C1" s="74" t="s">
        <v>249</v>
      </c>
      <c r="D1" s="74" t="s">
        <v>250</v>
      </c>
      <c r="E1" s="74" t="s">
        <v>251</v>
      </c>
      <c r="F1" s="74" t="s">
        <v>252</v>
      </c>
      <c r="G1" s="74" t="s">
        <v>253</v>
      </c>
      <c r="H1" s="74" t="s">
        <v>254</v>
      </c>
      <c r="I1" s="74" t="s">
        <v>255</v>
      </c>
    </row>
    <row r="2" spans="1:9" ht="15" customHeight="1" x14ac:dyDescent="0.25">
      <c r="A2" s="67" t="s">
        <v>256</v>
      </c>
      <c r="B2" s="67" t="s">
        <v>257</v>
      </c>
      <c r="C2" s="72">
        <v>69520.160302499993</v>
      </c>
      <c r="D2" s="72">
        <v>69617.988524800006</v>
      </c>
      <c r="E2" s="72">
        <v>72509.662213899996</v>
      </c>
      <c r="F2" s="72">
        <v>81517.658447900001</v>
      </c>
      <c r="G2" s="72">
        <v>86363.301631800001</v>
      </c>
      <c r="H2" s="72">
        <v>92310.566210000005</v>
      </c>
      <c r="I2" s="72">
        <v>100949.833957</v>
      </c>
    </row>
    <row r="3" spans="1:9" ht="15" customHeight="1" x14ac:dyDescent="0.25">
      <c r="A3" s="67" t="s">
        <v>258</v>
      </c>
      <c r="B3" s="67" t="s">
        <v>259</v>
      </c>
      <c r="C3" s="72">
        <v>63406.575448299998</v>
      </c>
      <c r="D3" s="72">
        <v>63535.535580600001</v>
      </c>
      <c r="E3" s="72">
        <v>64913.113694599997</v>
      </c>
      <c r="F3" s="72">
        <v>64935.911547900003</v>
      </c>
      <c r="G3" s="72">
        <v>71719.445953500006</v>
      </c>
      <c r="H3" s="72">
        <v>77511.542720700003</v>
      </c>
      <c r="I3" s="72">
        <v>77343.957197700001</v>
      </c>
    </row>
    <row r="4" spans="1:9" ht="15" customHeight="1" x14ac:dyDescent="0.25">
      <c r="A4" s="67" t="s">
        <v>260</v>
      </c>
      <c r="B4" s="67" t="s">
        <v>261</v>
      </c>
      <c r="C4" s="72">
        <v>80683.755730000004</v>
      </c>
      <c r="D4" s="72">
        <v>82353.088767599998</v>
      </c>
      <c r="E4" s="72">
        <v>90435.789621400007</v>
      </c>
      <c r="F4" s="72">
        <v>92581.391216499993</v>
      </c>
      <c r="G4" s="72">
        <v>101085.466388</v>
      </c>
      <c r="H4" s="72">
        <v>105997.76257399999</v>
      </c>
      <c r="I4" s="72">
        <v>106741.540693</v>
      </c>
    </row>
    <row r="5" spans="1:9" ht="15" customHeight="1" x14ac:dyDescent="0.25">
      <c r="A5" s="67" t="s">
        <v>262</v>
      </c>
      <c r="B5" s="67" t="s">
        <v>263</v>
      </c>
      <c r="C5" s="72">
        <v>80237.188932300007</v>
      </c>
      <c r="D5" s="72">
        <v>80770.072609399998</v>
      </c>
      <c r="E5" s="72">
        <v>84474.060585800005</v>
      </c>
      <c r="F5" s="72">
        <v>86031.055248000004</v>
      </c>
      <c r="G5" s="72">
        <v>88166.261018100005</v>
      </c>
      <c r="H5" s="72">
        <v>99435.767772199993</v>
      </c>
      <c r="I5" s="72">
        <v>103559.907072</v>
      </c>
    </row>
    <row r="6" spans="1:9" ht="15" customHeight="1" x14ac:dyDescent="0.25">
      <c r="A6" s="67" t="s">
        <v>264</v>
      </c>
      <c r="B6" s="67" t="s">
        <v>265</v>
      </c>
      <c r="C6" s="72">
        <v>61531.2229257</v>
      </c>
      <c r="D6" s="72">
        <v>62827.321174500001</v>
      </c>
      <c r="E6" s="72">
        <v>67152.106832699996</v>
      </c>
      <c r="F6" s="72">
        <v>67252.050161199993</v>
      </c>
      <c r="G6" s="72">
        <v>68873.3484627</v>
      </c>
      <c r="H6" s="72">
        <v>74392.766717599996</v>
      </c>
      <c r="I6" s="72">
        <v>82741.746138500006</v>
      </c>
    </row>
    <row r="7" spans="1:9" ht="15" customHeight="1" x14ac:dyDescent="0.25">
      <c r="A7" s="67" t="s">
        <v>266</v>
      </c>
      <c r="B7" s="67" t="s">
        <v>267</v>
      </c>
      <c r="C7" s="72">
        <v>49325.196783500003</v>
      </c>
      <c r="D7" s="72">
        <v>48613.633554499997</v>
      </c>
      <c r="E7" s="72">
        <v>46618.496628399997</v>
      </c>
      <c r="F7" s="72">
        <v>49194.583883400002</v>
      </c>
      <c r="G7" s="72">
        <v>51634.839440800002</v>
      </c>
      <c r="H7" s="72">
        <v>56613.493148900001</v>
      </c>
      <c r="I7" s="72">
        <v>56931.850288399997</v>
      </c>
    </row>
    <row r="8" spans="1:9" ht="15" customHeight="1" x14ac:dyDescent="0.25">
      <c r="A8" s="67" t="s">
        <v>268</v>
      </c>
      <c r="B8" s="67" t="s">
        <v>269</v>
      </c>
      <c r="C8" s="72">
        <v>66248.885894499996</v>
      </c>
      <c r="D8" s="72">
        <v>62891.276669799998</v>
      </c>
      <c r="E8" s="72">
        <v>64250.812559400001</v>
      </c>
      <c r="F8" s="72">
        <v>80983.800525500003</v>
      </c>
      <c r="G8" s="72">
        <v>83025.239802399999</v>
      </c>
      <c r="H8" s="72">
        <v>90684.736240500002</v>
      </c>
      <c r="I8" s="72">
        <v>101255.773252</v>
      </c>
    </row>
    <row r="9" spans="1:9" ht="15" customHeight="1" x14ac:dyDescent="0.25">
      <c r="A9" s="67" t="s">
        <v>270</v>
      </c>
      <c r="B9" s="67" t="s">
        <v>271</v>
      </c>
      <c r="C9" s="72">
        <v>41645.732570300002</v>
      </c>
      <c r="D9" s="72">
        <v>42032.202317800002</v>
      </c>
      <c r="E9" s="72">
        <v>43748.264544500002</v>
      </c>
      <c r="F9" s="72">
        <v>45060.472158500001</v>
      </c>
      <c r="G9" s="72">
        <v>50027.142283599998</v>
      </c>
      <c r="H9" s="72">
        <v>52284.024045300001</v>
      </c>
      <c r="I9" s="72">
        <v>62038.422203599999</v>
      </c>
    </row>
    <row r="10" spans="1:9" ht="15" customHeight="1" x14ac:dyDescent="0.25">
      <c r="A10" s="67" t="s">
        <v>272</v>
      </c>
      <c r="B10" s="67" t="s">
        <v>273</v>
      </c>
      <c r="C10" s="72">
        <v>42103.333995599998</v>
      </c>
      <c r="D10" s="72">
        <v>42369.285978400003</v>
      </c>
      <c r="E10" s="72">
        <v>44025.515289499999</v>
      </c>
      <c r="F10" s="72">
        <v>48874.327541799998</v>
      </c>
      <c r="G10" s="72">
        <v>50259.8424896</v>
      </c>
      <c r="H10" s="72">
        <v>54759.332544600002</v>
      </c>
      <c r="I10" s="72">
        <v>55993.436121799998</v>
      </c>
    </row>
    <row r="11" spans="1:9" ht="15" customHeight="1" x14ac:dyDescent="0.25">
      <c r="A11" s="67" t="s">
        <v>274</v>
      </c>
      <c r="B11" s="67" t="s">
        <v>275</v>
      </c>
      <c r="C11" s="72">
        <v>71581.464662500002</v>
      </c>
      <c r="D11" s="72">
        <v>74271.154450200003</v>
      </c>
      <c r="E11" s="72">
        <v>76276.166411600003</v>
      </c>
      <c r="F11" s="72">
        <v>79759.309931299998</v>
      </c>
      <c r="G11" s="72">
        <v>84998.243440799997</v>
      </c>
      <c r="H11" s="72">
        <v>91398.861703799994</v>
      </c>
      <c r="I11" s="72">
        <v>95343.308607200001</v>
      </c>
    </row>
    <row r="12" spans="1:9" ht="15" customHeight="1" x14ac:dyDescent="0.25">
      <c r="A12" s="67" t="s">
        <v>276</v>
      </c>
      <c r="B12" s="67" t="s">
        <v>277</v>
      </c>
      <c r="C12" s="72">
        <v>29593.028400899999</v>
      </c>
      <c r="D12" s="72">
        <v>31594.410535700001</v>
      </c>
      <c r="E12" s="72">
        <v>32455.6857413</v>
      </c>
      <c r="F12" s="72">
        <v>35040.493805700004</v>
      </c>
      <c r="G12" s="72">
        <v>38832.644277699997</v>
      </c>
      <c r="H12" s="72">
        <v>40096.304741799999</v>
      </c>
      <c r="I12" s="72">
        <v>40850.414016499999</v>
      </c>
    </row>
    <row r="13" spans="1:9" ht="15" customHeight="1" x14ac:dyDescent="0.25">
      <c r="A13" s="67" t="s">
        <v>278</v>
      </c>
      <c r="B13" s="67" t="s">
        <v>279</v>
      </c>
      <c r="C13" s="72">
        <v>40985.026177</v>
      </c>
      <c r="D13" s="72">
        <v>44478.439976100002</v>
      </c>
      <c r="E13" s="72">
        <v>43723.803676199997</v>
      </c>
      <c r="F13" s="72">
        <v>41159.210260599997</v>
      </c>
      <c r="G13" s="72">
        <v>46259.900938300001</v>
      </c>
      <c r="H13" s="72">
        <v>54337.848295999996</v>
      </c>
      <c r="I13" s="72">
        <v>54046.743682699998</v>
      </c>
    </row>
    <row r="14" spans="1:9" ht="15" customHeight="1" x14ac:dyDescent="0.25">
      <c r="A14" s="67" t="s">
        <v>280</v>
      </c>
      <c r="B14" s="67" t="s">
        <v>281</v>
      </c>
      <c r="C14" s="72">
        <v>26038.0029627</v>
      </c>
      <c r="D14" s="72">
        <v>27387.225164300002</v>
      </c>
      <c r="E14" s="72">
        <v>29127.080322599999</v>
      </c>
      <c r="F14" s="72">
        <v>31792.265911999999</v>
      </c>
      <c r="G14" s="72">
        <v>33767.379618400002</v>
      </c>
      <c r="H14" s="72">
        <v>35315.606149200001</v>
      </c>
      <c r="I14" s="72">
        <v>35420.098569599999</v>
      </c>
    </row>
    <row r="15" spans="1:9" ht="15" customHeight="1" x14ac:dyDescent="0.25">
      <c r="A15" s="67" t="s">
        <v>282</v>
      </c>
      <c r="B15" s="67" t="s">
        <v>283</v>
      </c>
      <c r="C15" s="72">
        <v>30028.2347147</v>
      </c>
      <c r="D15" s="72">
        <v>30894.266829200002</v>
      </c>
      <c r="E15" s="72">
        <v>32906.926307499998</v>
      </c>
      <c r="F15" s="72">
        <v>35109.424183299998</v>
      </c>
      <c r="G15" s="72">
        <v>38728.700236700002</v>
      </c>
      <c r="H15" s="72">
        <v>42052.0137044</v>
      </c>
      <c r="I15" s="72">
        <v>42479.268872300003</v>
      </c>
    </row>
    <row r="16" spans="1:9" ht="15" customHeight="1" x14ac:dyDescent="0.25">
      <c r="A16" s="67" t="s">
        <v>284</v>
      </c>
      <c r="B16" s="67" t="s">
        <v>285</v>
      </c>
      <c r="C16" s="72">
        <v>29236.7665743</v>
      </c>
      <c r="D16" s="72">
        <v>29178.154127900001</v>
      </c>
      <c r="E16" s="72">
        <v>29366.143698100001</v>
      </c>
      <c r="F16" s="72">
        <v>30446.869557999999</v>
      </c>
      <c r="G16" s="72">
        <v>33473.301366300002</v>
      </c>
      <c r="H16" s="72">
        <v>35881.214583399997</v>
      </c>
      <c r="I16" s="72">
        <v>40172.280757400003</v>
      </c>
    </row>
    <row r="17" spans="1:9" ht="15" customHeight="1" x14ac:dyDescent="0.25">
      <c r="A17" s="67" t="s">
        <v>286</v>
      </c>
      <c r="B17" s="67" t="s">
        <v>287</v>
      </c>
      <c r="C17" s="72">
        <v>30500.5362838</v>
      </c>
      <c r="D17" s="72">
        <v>32582.009431999999</v>
      </c>
      <c r="E17" s="72">
        <v>32426.307640300001</v>
      </c>
      <c r="F17" s="72">
        <v>35085.920716799999</v>
      </c>
      <c r="G17" s="72">
        <v>38264.274848699999</v>
      </c>
      <c r="H17" s="72">
        <v>40642.543738499997</v>
      </c>
      <c r="I17" s="72">
        <v>42635.593990000001</v>
      </c>
    </row>
    <row r="18" spans="1:9" ht="15" customHeight="1" x14ac:dyDescent="0.25">
      <c r="A18" s="67" t="s">
        <v>288</v>
      </c>
      <c r="B18" s="67" t="s">
        <v>289</v>
      </c>
      <c r="C18" s="72">
        <v>36296.225424900003</v>
      </c>
      <c r="D18" s="72">
        <v>37984.259619500001</v>
      </c>
      <c r="E18" s="72">
        <v>38528.379979899997</v>
      </c>
      <c r="F18" s="72">
        <v>40566.256100400002</v>
      </c>
      <c r="G18" s="72">
        <v>42894.090941399998</v>
      </c>
      <c r="H18" s="72">
        <v>46526.6882023</v>
      </c>
      <c r="I18" s="72">
        <v>48156.524369300001</v>
      </c>
    </row>
    <row r="19" spans="1:9" ht="15" customHeight="1" x14ac:dyDescent="0.25">
      <c r="A19" s="67" t="s">
        <v>290</v>
      </c>
      <c r="B19" s="67" t="s">
        <v>291</v>
      </c>
      <c r="C19" s="72">
        <v>26797.0595373</v>
      </c>
      <c r="D19" s="72">
        <v>32248.547884899999</v>
      </c>
      <c r="E19" s="72">
        <v>31640.4784879</v>
      </c>
      <c r="F19" s="72">
        <v>32575.740680700001</v>
      </c>
      <c r="G19" s="72">
        <v>32760.521363299998</v>
      </c>
      <c r="H19" s="72">
        <v>36410.691759100002</v>
      </c>
      <c r="I19" s="72">
        <v>39245.553568399999</v>
      </c>
    </row>
    <row r="20" spans="1:9" ht="15" customHeight="1" x14ac:dyDescent="0.25">
      <c r="A20" s="67" t="s">
        <v>292</v>
      </c>
      <c r="B20" s="67" t="s">
        <v>293</v>
      </c>
      <c r="C20" s="72">
        <v>45122.636095299997</v>
      </c>
      <c r="D20" s="72">
        <v>46507.370663100002</v>
      </c>
      <c r="E20" s="72">
        <v>48053.614504099998</v>
      </c>
      <c r="F20" s="72">
        <v>50629.6708125</v>
      </c>
      <c r="G20" s="72">
        <v>51944.752732100002</v>
      </c>
      <c r="H20" s="72">
        <v>54382.058952799998</v>
      </c>
      <c r="I20" s="72">
        <v>55546.351118799997</v>
      </c>
    </row>
    <row r="21" spans="1:9" ht="15" customHeight="1" x14ac:dyDescent="0.25">
      <c r="A21" s="67" t="s">
        <v>294</v>
      </c>
      <c r="B21" s="67" t="s">
        <v>295</v>
      </c>
      <c r="C21" s="72">
        <v>45505.6566399</v>
      </c>
      <c r="D21" s="72">
        <v>47414.2855385</v>
      </c>
      <c r="E21" s="72">
        <v>44415.582843299999</v>
      </c>
      <c r="F21" s="72">
        <v>47845.3668703</v>
      </c>
      <c r="G21" s="72">
        <v>52585.494004100001</v>
      </c>
      <c r="H21" s="72">
        <v>56995.668152799997</v>
      </c>
      <c r="I21" s="72">
        <v>58151.785710999997</v>
      </c>
    </row>
    <row r="22" spans="1:9" ht="15" customHeight="1" x14ac:dyDescent="0.25">
      <c r="A22" s="67" t="s">
        <v>296</v>
      </c>
      <c r="B22" s="67" t="s">
        <v>297</v>
      </c>
      <c r="C22" s="72">
        <v>36108.080147200002</v>
      </c>
      <c r="D22" s="72">
        <v>38047.127230600003</v>
      </c>
      <c r="E22" s="72">
        <v>38830.4988811</v>
      </c>
      <c r="F22" s="72">
        <v>41436.7242959</v>
      </c>
      <c r="G22" s="72">
        <v>44879.7101559</v>
      </c>
      <c r="H22" s="72">
        <v>51642.4280373</v>
      </c>
      <c r="I22" s="72">
        <v>52297.624293300003</v>
      </c>
    </row>
    <row r="23" spans="1:9" ht="15" customHeight="1" x14ac:dyDescent="0.25">
      <c r="A23" s="67" t="s">
        <v>298</v>
      </c>
      <c r="B23" s="67" t="s">
        <v>299</v>
      </c>
      <c r="C23" s="72">
        <v>37327.212163199998</v>
      </c>
      <c r="D23" s="72">
        <v>37111.242457599998</v>
      </c>
      <c r="E23" s="72">
        <v>37994.108074000003</v>
      </c>
      <c r="F23" s="72">
        <v>39855.551354800002</v>
      </c>
      <c r="G23" s="72">
        <v>43914.409622699997</v>
      </c>
      <c r="H23" s="72">
        <v>49154.0661788</v>
      </c>
      <c r="I23" s="72">
        <v>50735.507922500001</v>
      </c>
    </row>
    <row r="24" spans="1:9" ht="15" customHeight="1" x14ac:dyDescent="0.25">
      <c r="A24" s="67" t="s">
        <v>300</v>
      </c>
      <c r="B24" s="67" t="s">
        <v>301</v>
      </c>
      <c r="C24" s="72">
        <v>41373.493536000002</v>
      </c>
      <c r="D24" s="72">
        <v>41431.354080700003</v>
      </c>
      <c r="E24" s="72">
        <v>44932.493451399998</v>
      </c>
      <c r="F24" s="72">
        <v>49735.530077000003</v>
      </c>
      <c r="G24" s="72">
        <v>49027.229208899997</v>
      </c>
      <c r="H24" s="72">
        <v>48783.723310399997</v>
      </c>
      <c r="I24" s="72">
        <v>48769.154416199999</v>
      </c>
    </row>
    <row r="26" spans="1:9" ht="27.75" customHeight="1" x14ac:dyDescent="0.25">
      <c r="A26" s="86" t="s">
        <v>302</v>
      </c>
      <c r="B26" s="86"/>
      <c r="C26" s="86"/>
      <c r="D26" s="86"/>
      <c r="E26" s="86"/>
      <c r="F26" s="86"/>
      <c r="G26" s="86"/>
      <c r="H26" s="86"/>
      <c r="I26" s="86"/>
    </row>
  </sheetData>
  <mergeCells count="1">
    <mergeCell ref="A26:I26"/>
  </mergeCells>
  <pageMargins left="0.75" right="0.75" top="1" bottom="1"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4"/>
  <sheetViews>
    <sheetView showGridLines="0" zoomScaleNormal="100" workbookViewId="0">
      <pane xSplit="2" ySplit="1" topLeftCell="C2" activePane="bottomRight" state="frozen"/>
      <selection pane="topRight" activeCell="C1" sqref="C1"/>
      <selection pane="bottomLeft" activeCell="A2" sqref="A2"/>
      <selection pane="bottomRight"/>
    </sheetView>
  </sheetViews>
  <sheetFormatPr defaultColWidth="8.7109375" defaultRowHeight="15" x14ac:dyDescent="0.25"/>
  <cols>
    <col min="1" max="1" width="9" customWidth="1"/>
    <col min="2" max="2" width="46" customWidth="1"/>
    <col min="3" max="9" width="14" customWidth="1"/>
  </cols>
  <sheetData>
    <row r="1" spans="1:9" ht="39" customHeight="1" x14ac:dyDescent="0.25">
      <c r="A1" s="74" t="s">
        <v>35</v>
      </c>
      <c r="B1" s="74" t="s">
        <v>36</v>
      </c>
      <c r="C1" s="74" t="s">
        <v>303</v>
      </c>
      <c r="D1" s="74" t="s">
        <v>304</v>
      </c>
      <c r="E1" s="74" t="s">
        <v>305</v>
      </c>
      <c r="F1" s="74" t="s">
        <v>306</v>
      </c>
      <c r="G1" s="74" t="s">
        <v>307</v>
      </c>
      <c r="H1" s="74" t="s">
        <v>308</v>
      </c>
      <c r="I1" s="74" t="s">
        <v>309</v>
      </c>
    </row>
    <row r="2" spans="1:9" ht="15" customHeight="1" x14ac:dyDescent="0.25">
      <c r="A2" s="67">
        <v>11</v>
      </c>
      <c r="B2" s="67" t="s">
        <v>226</v>
      </c>
      <c r="C2" s="75">
        <v>6.9999998049899999</v>
      </c>
      <c r="D2" s="75">
        <v>8.9999995499099992</v>
      </c>
      <c r="E2" s="75">
        <v>10.9999992523</v>
      </c>
      <c r="F2" s="75">
        <v>12</v>
      </c>
      <c r="G2" s="75">
        <v>10.25</v>
      </c>
      <c r="H2" s="75">
        <v>12</v>
      </c>
      <c r="I2" s="75">
        <v>14</v>
      </c>
    </row>
    <row r="3" spans="1:9" ht="15" customHeight="1" x14ac:dyDescent="0.25">
      <c r="A3" s="67">
        <v>21</v>
      </c>
      <c r="B3" s="67" t="s">
        <v>227</v>
      </c>
      <c r="C3" s="75">
        <v>8.4999999970900006</v>
      </c>
      <c r="D3" s="75">
        <v>6.25</v>
      </c>
      <c r="E3" s="75">
        <v>7.75</v>
      </c>
      <c r="F3" s="75">
        <v>8.75</v>
      </c>
      <c r="G3" s="75">
        <v>8</v>
      </c>
      <c r="H3" s="75">
        <v>7.25</v>
      </c>
      <c r="I3" s="75">
        <v>7.25</v>
      </c>
    </row>
    <row r="4" spans="1:9" ht="15" customHeight="1" x14ac:dyDescent="0.25">
      <c r="A4" s="67">
        <v>22</v>
      </c>
      <c r="B4" s="67" t="s">
        <v>228</v>
      </c>
      <c r="C4" s="75">
        <v>5</v>
      </c>
      <c r="D4" s="75">
        <v>5.25</v>
      </c>
      <c r="E4" s="75">
        <v>7</v>
      </c>
      <c r="F4" s="75">
        <v>8.75</v>
      </c>
      <c r="G4" s="75">
        <v>8</v>
      </c>
      <c r="H4" s="75">
        <v>8</v>
      </c>
      <c r="I4" s="75">
        <v>8.25</v>
      </c>
    </row>
    <row r="5" spans="1:9" ht="15" customHeight="1" x14ac:dyDescent="0.25">
      <c r="A5" s="67">
        <v>23</v>
      </c>
      <c r="B5" s="67" t="s">
        <v>229</v>
      </c>
      <c r="C5" s="75">
        <v>371</v>
      </c>
      <c r="D5" s="75">
        <v>393.75</v>
      </c>
      <c r="E5" s="75">
        <v>401.25</v>
      </c>
      <c r="F5" s="75">
        <v>412.25</v>
      </c>
      <c r="G5" s="75">
        <v>422</v>
      </c>
      <c r="H5" s="75">
        <v>435.25</v>
      </c>
      <c r="I5" s="75">
        <v>428.25</v>
      </c>
    </row>
    <row r="6" spans="1:9" ht="15" customHeight="1" x14ac:dyDescent="0.25">
      <c r="A6" s="67">
        <v>31</v>
      </c>
      <c r="B6" s="67" t="s">
        <v>230</v>
      </c>
      <c r="C6" s="75">
        <v>75.000005572199996</v>
      </c>
      <c r="D6" s="75">
        <v>74.999990435200004</v>
      </c>
      <c r="E6" s="75">
        <v>75.249991714100005</v>
      </c>
      <c r="F6" s="75">
        <v>88.5</v>
      </c>
      <c r="G6" s="75">
        <v>93.75</v>
      </c>
      <c r="H6" s="75">
        <v>85.25</v>
      </c>
      <c r="I6" s="75">
        <v>76.25</v>
      </c>
    </row>
    <row r="7" spans="1:9" ht="15" customHeight="1" x14ac:dyDescent="0.25">
      <c r="A7" s="67">
        <v>42</v>
      </c>
      <c r="B7" s="67" t="s">
        <v>231</v>
      </c>
      <c r="C7" s="75">
        <v>124.250001031</v>
      </c>
      <c r="D7" s="75">
        <v>132.499999567</v>
      </c>
      <c r="E7" s="75">
        <v>133.750000003</v>
      </c>
      <c r="F7" s="75">
        <v>149</v>
      </c>
      <c r="G7" s="75">
        <v>146.75</v>
      </c>
      <c r="H7" s="75">
        <v>139.75</v>
      </c>
      <c r="I7" s="75">
        <v>132</v>
      </c>
    </row>
    <row r="8" spans="1:9" ht="15" customHeight="1" x14ac:dyDescent="0.25">
      <c r="A8" s="67">
        <v>44</v>
      </c>
      <c r="B8" s="67" t="s">
        <v>232</v>
      </c>
      <c r="C8" s="75">
        <v>310.74990887299998</v>
      </c>
      <c r="D8" s="75">
        <v>310.49558217399999</v>
      </c>
      <c r="E8" s="75">
        <v>307.49919952200003</v>
      </c>
      <c r="F8" s="75">
        <v>301.75</v>
      </c>
      <c r="G8" s="75">
        <v>302.5</v>
      </c>
      <c r="H8" s="75">
        <v>304.25</v>
      </c>
      <c r="I8" s="75">
        <v>305.75</v>
      </c>
    </row>
    <row r="9" spans="1:9" ht="15" customHeight="1" x14ac:dyDescent="0.25">
      <c r="A9" s="67">
        <v>48</v>
      </c>
      <c r="B9" s="67" t="s">
        <v>233</v>
      </c>
      <c r="C9" s="75">
        <v>53</v>
      </c>
      <c r="D9" s="75">
        <v>49.5</v>
      </c>
      <c r="E9" s="75">
        <v>52</v>
      </c>
      <c r="F9" s="75">
        <v>51.25</v>
      </c>
      <c r="G9" s="75">
        <v>52</v>
      </c>
      <c r="H9" s="75">
        <v>49.5</v>
      </c>
      <c r="I9" s="75">
        <v>43.75</v>
      </c>
    </row>
    <row r="10" spans="1:9" ht="15" customHeight="1" x14ac:dyDescent="0.25">
      <c r="A10" s="67">
        <v>51</v>
      </c>
      <c r="B10" s="67" t="s">
        <v>234</v>
      </c>
      <c r="C10" s="75">
        <v>78.721983675399997</v>
      </c>
      <c r="D10" s="75">
        <v>92.198632810600003</v>
      </c>
      <c r="E10" s="75">
        <v>113.404811161</v>
      </c>
      <c r="F10" s="75">
        <v>136.75</v>
      </c>
      <c r="G10" s="75">
        <v>134.25</v>
      </c>
      <c r="H10" s="75">
        <v>124</v>
      </c>
      <c r="I10" s="75">
        <v>124.75</v>
      </c>
    </row>
    <row r="11" spans="1:9" ht="15" customHeight="1" x14ac:dyDescent="0.25">
      <c r="A11" s="67">
        <v>52</v>
      </c>
      <c r="B11" s="67" t="s">
        <v>235</v>
      </c>
      <c r="C11" s="75">
        <v>126.750000003</v>
      </c>
      <c r="D11" s="75">
        <v>138.50000001399999</v>
      </c>
      <c r="E11" s="75">
        <v>164</v>
      </c>
      <c r="F11" s="75">
        <v>179.25</v>
      </c>
      <c r="G11" s="75">
        <v>174.75</v>
      </c>
      <c r="H11" s="75">
        <v>176</v>
      </c>
      <c r="I11" s="75">
        <v>187.75</v>
      </c>
    </row>
    <row r="12" spans="1:9" ht="15" customHeight="1" x14ac:dyDescent="0.25">
      <c r="A12" s="67">
        <v>53</v>
      </c>
      <c r="B12" s="67" t="s">
        <v>236</v>
      </c>
      <c r="C12" s="75">
        <v>345</v>
      </c>
      <c r="D12" s="75">
        <v>348.5</v>
      </c>
      <c r="E12" s="75">
        <v>362</v>
      </c>
      <c r="F12" s="75">
        <v>341.25</v>
      </c>
      <c r="G12" s="75">
        <v>352</v>
      </c>
      <c r="H12" s="75">
        <v>351.25</v>
      </c>
      <c r="I12" s="75">
        <v>358.5</v>
      </c>
    </row>
    <row r="13" spans="1:9" ht="15" customHeight="1" x14ac:dyDescent="0.25">
      <c r="A13" s="67">
        <v>54</v>
      </c>
      <c r="B13" s="67" t="s">
        <v>237</v>
      </c>
      <c r="C13" s="75">
        <v>514.25</v>
      </c>
      <c r="D13" s="75">
        <v>530.25</v>
      </c>
      <c r="E13" s="75">
        <v>624.00000000099999</v>
      </c>
      <c r="F13" s="75">
        <v>726.75</v>
      </c>
      <c r="G13" s="75">
        <v>741.75</v>
      </c>
      <c r="H13" s="75">
        <v>744</v>
      </c>
      <c r="I13" s="75">
        <v>733.25</v>
      </c>
    </row>
    <row r="14" spans="1:9" ht="15" customHeight="1" x14ac:dyDescent="0.25">
      <c r="A14" s="67">
        <v>55</v>
      </c>
      <c r="B14" s="67" t="s">
        <v>238</v>
      </c>
      <c r="C14" s="75">
        <v>26.75</v>
      </c>
      <c r="D14" s="75">
        <v>28</v>
      </c>
      <c r="E14" s="75">
        <v>33.75</v>
      </c>
      <c r="F14" s="75">
        <v>39.25</v>
      </c>
      <c r="G14" s="75">
        <v>33.75</v>
      </c>
      <c r="H14" s="75">
        <v>42</v>
      </c>
      <c r="I14" s="75">
        <v>42.5</v>
      </c>
    </row>
    <row r="15" spans="1:9" ht="15" customHeight="1" x14ac:dyDescent="0.25">
      <c r="A15" s="67">
        <v>56</v>
      </c>
      <c r="B15" s="67" t="s">
        <v>239</v>
      </c>
      <c r="C15" s="75">
        <v>187.75</v>
      </c>
      <c r="D15" s="75">
        <v>198</v>
      </c>
      <c r="E15" s="75">
        <v>217</v>
      </c>
      <c r="F15" s="75">
        <v>225.25</v>
      </c>
      <c r="G15" s="75">
        <v>207.25</v>
      </c>
      <c r="H15" s="75">
        <v>212.5</v>
      </c>
      <c r="I15" s="75">
        <v>209.5</v>
      </c>
    </row>
    <row r="16" spans="1:9" ht="15" customHeight="1" x14ac:dyDescent="0.25">
      <c r="A16" s="67">
        <v>61</v>
      </c>
      <c r="B16" s="67" t="s">
        <v>240</v>
      </c>
      <c r="C16" s="75">
        <v>46.5</v>
      </c>
      <c r="D16" s="75">
        <v>50.75</v>
      </c>
      <c r="E16" s="75">
        <v>47.75</v>
      </c>
      <c r="F16" s="75">
        <v>54</v>
      </c>
      <c r="G16" s="75">
        <v>60.25</v>
      </c>
      <c r="H16" s="75">
        <v>63.75</v>
      </c>
      <c r="I16" s="75">
        <v>61.25</v>
      </c>
    </row>
    <row r="17" spans="1:9" ht="15" customHeight="1" x14ac:dyDescent="0.25">
      <c r="A17" s="67">
        <v>62</v>
      </c>
      <c r="B17" s="67" t="s">
        <v>241</v>
      </c>
      <c r="C17" s="75">
        <v>169.25</v>
      </c>
      <c r="D17" s="75">
        <v>181</v>
      </c>
      <c r="E17" s="75">
        <v>189.75</v>
      </c>
      <c r="F17" s="75">
        <v>192.5</v>
      </c>
      <c r="G17" s="75">
        <v>196</v>
      </c>
      <c r="H17" s="75">
        <v>199.25</v>
      </c>
      <c r="I17" s="75">
        <v>211.5</v>
      </c>
    </row>
    <row r="18" spans="1:9" ht="15" customHeight="1" x14ac:dyDescent="0.25">
      <c r="A18" s="67">
        <v>71</v>
      </c>
      <c r="B18" s="67" t="s">
        <v>242</v>
      </c>
      <c r="C18" s="75">
        <v>79.75</v>
      </c>
      <c r="D18" s="75">
        <v>76.75</v>
      </c>
      <c r="E18" s="75">
        <v>80.5</v>
      </c>
      <c r="F18" s="75">
        <v>82.25</v>
      </c>
      <c r="G18" s="75">
        <v>83.75</v>
      </c>
      <c r="H18" s="75">
        <v>91.5</v>
      </c>
      <c r="I18" s="75">
        <v>93.5</v>
      </c>
    </row>
    <row r="19" spans="1:9" ht="15" customHeight="1" x14ac:dyDescent="0.25">
      <c r="A19" s="67">
        <v>72</v>
      </c>
      <c r="B19" s="67" t="s">
        <v>243</v>
      </c>
      <c r="C19" s="75">
        <v>203</v>
      </c>
      <c r="D19" s="75">
        <v>202</v>
      </c>
      <c r="E19" s="75">
        <v>213</v>
      </c>
      <c r="F19" s="75">
        <v>221</v>
      </c>
      <c r="G19" s="75">
        <v>222.75</v>
      </c>
      <c r="H19" s="75">
        <v>223.5</v>
      </c>
      <c r="I19" s="75">
        <v>237</v>
      </c>
    </row>
    <row r="20" spans="1:9" ht="15" customHeight="1" x14ac:dyDescent="0.25">
      <c r="A20" s="67">
        <v>81</v>
      </c>
      <c r="B20" s="67" t="s">
        <v>244</v>
      </c>
      <c r="C20" s="75">
        <v>187.00000000599999</v>
      </c>
      <c r="D20" s="75">
        <v>186.25000000200001</v>
      </c>
      <c r="E20" s="75">
        <v>198.500000005</v>
      </c>
      <c r="F20" s="75">
        <v>225.5</v>
      </c>
      <c r="G20" s="75">
        <v>223.25</v>
      </c>
      <c r="H20" s="75">
        <v>216.75</v>
      </c>
      <c r="I20" s="75">
        <v>216.5</v>
      </c>
    </row>
    <row r="21" spans="1:9" ht="15" customHeight="1" x14ac:dyDescent="0.25">
      <c r="A21" s="67">
        <v>90</v>
      </c>
      <c r="B21" s="67" t="s">
        <v>245</v>
      </c>
      <c r="C21" s="75">
        <v>100.249999977</v>
      </c>
      <c r="D21" s="75">
        <v>100.749999931</v>
      </c>
      <c r="E21" s="75">
        <v>101.99999995100001</v>
      </c>
      <c r="F21" s="75">
        <v>99</v>
      </c>
      <c r="G21" s="75">
        <v>99.5</v>
      </c>
      <c r="H21" s="75">
        <v>101.25</v>
      </c>
      <c r="I21" s="75">
        <v>99</v>
      </c>
    </row>
    <row r="22" spans="1:9" ht="15" customHeight="1" x14ac:dyDescent="0.25">
      <c r="A22" s="76"/>
      <c r="B22" s="65" t="s">
        <v>45</v>
      </c>
      <c r="C22" s="77">
        <f t="shared" ref="C22:I22" si="0">SUM(C2:C21)</f>
        <v>3019.4718989396797</v>
      </c>
      <c r="D22" s="77">
        <f t="shared" si="0"/>
        <v>3114.6942044837101</v>
      </c>
      <c r="E22" s="77">
        <f t="shared" si="0"/>
        <v>3341.1540016094</v>
      </c>
      <c r="F22" s="77">
        <f t="shared" si="0"/>
        <v>3555</v>
      </c>
      <c r="G22" s="77">
        <f t="shared" si="0"/>
        <v>3572.5</v>
      </c>
      <c r="H22" s="77">
        <f t="shared" si="0"/>
        <v>3587</v>
      </c>
      <c r="I22" s="77">
        <f t="shared" si="0"/>
        <v>3590.5</v>
      </c>
    </row>
    <row r="24" spans="1:9" ht="39.75" customHeight="1" x14ac:dyDescent="0.25">
      <c r="A24" s="86" t="s">
        <v>310</v>
      </c>
      <c r="B24" s="86"/>
      <c r="C24" s="86"/>
      <c r="D24" s="86"/>
      <c r="E24" s="86"/>
      <c r="F24" s="86"/>
      <c r="G24" s="86"/>
      <c r="H24" s="86"/>
      <c r="I24" s="86"/>
    </row>
  </sheetData>
  <mergeCells count="1">
    <mergeCell ref="A24:I24"/>
  </mergeCells>
  <pageMargins left="0.75" right="0.75" top="1" bottom="1"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5"/>
  <sheetViews>
    <sheetView showGridLines="0" zoomScaleNormal="100" workbookViewId="0">
      <pane xSplit="2" ySplit="1" topLeftCell="C2" activePane="bottomRight" state="frozen"/>
      <selection pane="topRight" activeCell="C1" sqref="C1"/>
      <selection pane="bottomLeft" activeCell="A2" sqref="A2"/>
      <selection pane="bottomRight"/>
    </sheetView>
  </sheetViews>
  <sheetFormatPr defaultColWidth="8.7109375" defaultRowHeight="15" x14ac:dyDescent="0.25"/>
  <cols>
    <col min="1" max="1" width="9" customWidth="1"/>
    <col min="2" max="2" width="46" customWidth="1"/>
    <col min="3" max="9" width="15" customWidth="1"/>
  </cols>
  <sheetData>
    <row r="1" spans="1:9" ht="39" customHeight="1" x14ac:dyDescent="0.25">
      <c r="A1" s="74" t="s">
        <v>35</v>
      </c>
      <c r="B1" s="74" t="s">
        <v>36</v>
      </c>
      <c r="C1" s="74" t="s">
        <v>311</v>
      </c>
      <c r="D1" s="74" t="s">
        <v>312</v>
      </c>
      <c r="E1" s="74" t="s">
        <v>313</v>
      </c>
      <c r="F1" s="74" t="s">
        <v>314</v>
      </c>
      <c r="G1" s="74" t="s">
        <v>315</v>
      </c>
      <c r="H1" s="74" t="s">
        <v>316</v>
      </c>
      <c r="I1" s="74" t="s">
        <v>317</v>
      </c>
    </row>
    <row r="2" spans="1:9" ht="15" customHeight="1" x14ac:dyDescent="0.25">
      <c r="A2" s="67">
        <v>11</v>
      </c>
      <c r="B2" s="67" t="s">
        <v>226</v>
      </c>
      <c r="C2" s="75">
        <v>10.6511945108</v>
      </c>
      <c r="D2" s="75">
        <v>26.398703215499999</v>
      </c>
      <c r="E2" s="75">
        <v>27.120301891499999</v>
      </c>
      <c r="F2" s="75">
        <v>28.917295821300002</v>
      </c>
      <c r="G2" s="75">
        <v>27.181936240199999</v>
      </c>
      <c r="H2" s="75">
        <v>29.4665894024</v>
      </c>
      <c r="I2" s="75">
        <v>30.063676737200002</v>
      </c>
    </row>
    <row r="3" spans="1:9" ht="15" customHeight="1" x14ac:dyDescent="0.25">
      <c r="A3" s="67">
        <v>21</v>
      </c>
      <c r="B3" s="67" t="s">
        <v>227</v>
      </c>
      <c r="C3" s="78" t="s">
        <v>318</v>
      </c>
      <c r="D3" s="78" t="s">
        <v>318</v>
      </c>
      <c r="E3" s="78" t="s">
        <v>318</v>
      </c>
      <c r="F3" s="78" t="s">
        <v>318</v>
      </c>
      <c r="G3" s="78" t="s">
        <v>318</v>
      </c>
      <c r="H3" s="78" t="s">
        <v>318</v>
      </c>
      <c r="I3" s="78" t="s">
        <v>318</v>
      </c>
    </row>
    <row r="4" spans="1:9" ht="15" customHeight="1" x14ac:dyDescent="0.25">
      <c r="A4" s="67">
        <v>22</v>
      </c>
      <c r="B4" s="67" t="s">
        <v>228</v>
      </c>
      <c r="C4" s="78" t="s">
        <v>318</v>
      </c>
      <c r="D4" s="78" t="s">
        <v>318</v>
      </c>
      <c r="E4" s="78" t="s">
        <v>318</v>
      </c>
      <c r="F4" s="75">
        <v>0</v>
      </c>
      <c r="G4" s="78" t="s">
        <v>318</v>
      </c>
      <c r="H4" s="78" t="s">
        <v>318</v>
      </c>
      <c r="I4" s="78" t="s">
        <v>318</v>
      </c>
    </row>
    <row r="5" spans="1:9" ht="15" customHeight="1" x14ac:dyDescent="0.25">
      <c r="A5" s="67">
        <v>23</v>
      </c>
      <c r="B5" s="67" t="s">
        <v>229</v>
      </c>
      <c r="C5" s="75">
        <v>203.0622501</v>
      </c>
      <c r="D5" s="75">
        <v>225.24809422000001</v>
      </c>
      <c r="E5" s="75">
        <v>235.26916612400001</v>
      </c>
      <c r="F5" s="75">
        <v>231.93757842799999</v>
      </c>
      <c r="G5" s="75">
        <v>236.18835068199999</v>
      </c>
      <c r="H5" s="75">
        <v>240.45454381299999</v>
      </c>
      <c r="I5" s="75">
        <v>242.50567258199999</v>
      </c>
    </row>
    <row r="6" spans="1:9" ht="15" customHeight="1" x14ac:dyDescent="0.25">
      <c r="A6" s="67">
        <v>31</v>
      </c>
      <c r="B6" s="67" t="s">
        <v>230</v>
      </c>
      <c r="C6" s="75">
        <v>40.546363953899998</v>
      </c>
      <c r="D6" s="75">
        <v>67.934533963999996</v>
      </c>
      <c r="E6" s="75">
        <v>56.046441877500001</v>
      </c>
      <c r="F6" s="75">
        <v>60.2924165847</v>
      </c>
      <c r="G6" s="75">
        <v>66.685874766300003</v>
      </c>
      <c r="H6" s="75">
        <v>66.108524584400001</v>
      </c>
      <c r="I6" s="75">
        <v>71.269375305599993</v>
      </c>
    </row>
    <row r="7" spans="1:9" ht="15" customHeight="1" x14ac:dyDescent="0.25">
      <c r="A7" s="67">
        <v>42</v>
      </c>
      <c r="B7" s="67" t="s">
        <v>231</v>
      </c>
      <c r="C7" s="75">
        <v>20.948984995299998</v>
      </c>
      <c r="D7" s="75">
        <v>10.5461828782</v>
      </c>
      <c r="E7" s="78" t="s">
        <v>318</v>
      </c>
      <c r="F7" s="75">
        <v>22.930068513999998</v>
      </c>
      <c r="G7" s="75">
        <v>16.724990916300001</v>
      </c>
      <c r="H7" s="75">
        <v>16.2217562459</v>
      </c>
      <c r="I7" s="75">
        <v>18.129345949000001</v>
      </c>
    </row>
    <row r="8" spans="1:9" ht="15" customHeight="1" x14ac:dyDescent="0.25">
      <c r="A8" s="67">
        <v>44</v>
      </c>
      <c r="B8" s="67" t="s">
        <v>232</v>
      </c>
      <c r="C8" s="75">
        <v>73.843783763299996</v>
      </c>
      <c r="D8" s="75">
        <v>72.614022860899993</v>
      </c>
      <c r="E8" s="75">
        <v>69.3645732568</v>
      </c>
      <c r="F8" s="75">
        <v>67.965319286899998</v>
      </c>
      <c r="G8" s="75">
        <v>67.594280061299997</v>
      </c>
      <c r="H8" s="75">
        <v>68.490388088900005</v>
      </c>
      <c r="I8" s="75">
        <v>70.116668914800002</v>
      </c>
    </row>
    <row r="9" spans="1:9" ht="15" customHeight="1" x14ac:dyDescent="0.25">
      <c r="A9" s="67">
        <v>48</v>
      </c>
      <c r="B9" s="67" t="s">
        <v>233</v>
      </c>
      <c r="C9" s="75">
        <v>34.4499415704</v>
      </c>
      <c r="D9" s="75">
        <v>46.8335582614</v>
      </c>
      <c r="E9" s="75">
        <v>40.6132167588</v>
      </c>
      <c r="F9" s="75">
        <v>52.273479715800001</v>
      </c>
      <c r="G9" s="75">
        <v>42.238717989900003</v>
      </c>
      <c r="H9" s="75">
        <v>42.204497975999999</v>
      </c>
      <c r="I9" s="75">
        <v>43.485716814699998</v>
      </c>
    </row>
    <row r="10" spans="1:9" ht="15" customHeight="1" x14ac:dyDescent="0.25">
      <c r="A10" s="67">
        <v>51</v>
      </c>
      <c r="B10" s="67" t="s">
        <v>234</v>
      </c>
      <c r="C10" s="75">
        <v>45.764398872999998</v>
      </c>
      <c r="D10" s="75">
        <v>41.968338956300002</v>
      </c>
      <c r="E10" s="75">
        <v>52.365771703100002</v>
      </c>
      <c r="F10" s="75">
        <v>60.7135593613</v>
      </c>
      <c r="G10" s="75">
        <v>57.467688168599999</v>
      </c>
      <c r="H10" s="75">
        <v>57.017564626000002</v>
      </c>
      <c r="I10" s="75">
        <v>59.632596252900001</v>
      </c>
    </row>
    <row r="11" spans="1:9" ht="15" customHeight="1" x14ac:dyDescent="0.25">
      <c r="A11" s="67">
        <v>52</v>
      </c>
      <c r="B11" s="67" t="s">
        <v>235</v>
      </c>
      <c r="C11" s="75">
        <v>76.167956359200005</v>
      </c>
      <c r="D11" s="75">
        <v>87.095342002999999</v>
      </c>
      <c r="E11" s="75">
        <v>83.593310247199994</v>
      </c>
      <c r="F11" s="75">
        <v>66.573248549400006</v>
      </c>
      <c r="G11" s="75">
        <v>68.805209356600002</v>
      </c>
      <c r="H11" s="75">
        <v>71.585149960300001</v>
      </c>
      <c r="I11" s="75">
        <v>72.302038270500006</v>
      </c>
    </row>
    <row r="12" spans="1:9" ht="15" customHeight="1" x14ac:dyDescent="0.25">
      <c r="A12" s="67">
        <v>53</v>
      </c>
      <c r="B12" s="67" t="s">
        <v>236</v>
      </c>
      <c r="C12" s="75">
        <v>173.548728998</v>
      </c>
      <c r="D12" s="75">
        <v>197.401792521</v>
      </c>
      <c r="E12" s="75">
        <v>188.28003738999999</v>
      </c>
      <c r="F12" s="75">
        <v>182.579337447</v>
      </c>
      <c r="G12" s="75">
        <v>176.91211915900001</v>
      </c>
      <c r="H12" s="75">
        <v>175.52035372099999</v>
      </c>
      <c r="I12" s="75">
        <v>175.55153113099999</v>
      </c>
    </row>
    <row r="13" spans="1:9" ht="15" customHeight="1" x14ac:dyDescent="0.25">
      <c r="A13" s="67">
        <v>54</v>
      </c>
      <c r="B13" s="67" t="s">
        <v>237</v>
      </c>
      <c r="C13" s="75">
        <v>361.38169718799998</v>
      </c>
      <c r="D13" s="75">
        <v>419.87720190200002</v>
      </c>
      <c r="E13" s="75">
        <v>384.90598873900001</v>
      </c>
      <c r="F13" s="75">
        <v>371.769236138</v>
      </c>
      <c r="G13" s="75">
        <v>378.22451211800001</v>
      </c>
      <c r="H13" s="75">
        <v>394.92050803000001</v>
      </c>
      <c r="I13" s="75">
        <v>400.799898074</v>
      </c>
    </row>
    <row r="14" spans="1:9" ht="15" customHeight="1" x14ac:dyDescent="0.25">
      <c r="A14" s="67">
        <v>55</v>
      </c>
      <c r="B14" s="79" t="s">
        <v>238</v>
      </c>
      <c r="C14" s="80">
        <v>0</v>
      </c>
      <c r="D14" s="80">
        <v>0</v>
      </c>
      <c r="E14" s="80">
        <v>0</v>
      </c>
      <c r="F14" s="80">
        <v>0</v>
      </c>
      <c r="G14" s="80">
        <v>0</v>
      </c>
      <c r="H14" s="80">
        <v>0</v>
      </c>
      <c r="I14" s="80">
        <v>0</v>
      </c>
    </row>
    <row r="15" spans="1:9" ht="15" customHeight="1" x14ac:dyDescent="0.25">
      <c r="A15" s="67">
        <v>56</v>
      </c>
      <c r="B15" s="67" t="s">
        <v>239</v>
      </c>
      <c r="C15" s="75">
        <v>155.910934728</v>
      </c>
      <c r="D15" s="75">
        <v>152.63015370599999</v>
      </c>
      <c r="E15" s="75">
        <v>142.94504179500001</v>
      </c>
      <c r="F15" s="75">
        <v>158.90409133399999</v>
      </c>
      <c r="G15" s="75">
        <v>166.975405223</v>
      </c>
      <c r="H15" s="75">
        <v>171.48711968500001</v>
      </c>
      <c r="I15" s="75">
        <v>178.41869006799999</v>
      </c>
    </row>
    <row r="16" spans="1:9" ht="15" customHeight="1" x14ac:dyDescent="0.25">
      <c r="A16" s="67">
        <v>61</v>
      </c>
      <c r="B16" s="67" t="s">
        <v>240</v>
      </c>
      <c r="C16" s="75">
        <v>118.911382381</v>
      </c>
      <c r="D16" s="75">
        <v>127.26026880400001</v>
      </c>
      <c r="E16" s="75">
        <v>128.990078565</v>
      </c>
      <c r="F16" s="75">
        <v>122.31541158100001</v>
      </c>
      <c r="G16" s="75">
        <v>123.44762107699999</v>
      </c>
      <c r="H16" s="75">
        <v>126.76691607399999</v>
      </c>
      <c r="I16" s="75">
        <v>130.02323051600001</v>
      </c>
    </row>
    <row r="17" spans="1:9" ht="15" customHeight="1" x14ac:dyDescent="0.25">
      <c r="A17" s="67">
        <v>62</v>
      </c>
      <c r="B17" s="67" t="s">
        <v>241</v>
      </c>
      <c r="C17" s="75">
        <v>124.587928573</v>
      </c>
      <c r="D17" s="75">
        <v>185.935033847</v>
      </c>
      <c r="E17" s="75">
        <v>144.66446602400001</v>
      </c>
      <c r="F17" s="75">
        <v>137.94620986199999</v>
      </c>
      <c r="G17" s="75">
        <v>167.22179936699999</v>
      </c>
      <c r="H17" s="75">
        <v>177.25573576599999</v>
      </c>
      <c r="I17" s="75">
        <v>188.34378803499999</v>
      </c>
    </row>
    <row r="18" spans="1:9" ht="15" customHeight="1" x14ac:dyDescent="0.25">
      <c r="A18" s="67">
        <v>71</v>
      </c>
      <c r="B18" s="67" t="s">
        <v>242</v>
      </c>
      <c r="C18" s="75">
        <v>122.278452531</v>
      </c>
      <c r="D18" s="75">
        <v>129.246303348</v>
      </c>
      <c r="E18" s="75">
        <v>113.85891324799999</v>
      </c>
      <c r="F18" s="75">
        <v>106.73790963</v>
      </c>
      <c r="G18" s="75">
        <v>97.071912648199998</v>
      </c>
      <c r="H18" s="75">
        <v>100.533836456</v>
      </c>
      <c r="I18" s="75">
        <v>99.932940041899997</v>
      </c>
    </row>
    <row r="19" spans="1:9" ht="15" customHeight="1" x14ac:dyDescent="0.25">
      <c r="A19" s="67">
        <v>72</v>
      </c>
      <c r="B19" s="67" t="s">
        <v>243</v>
      </c>
      <c r="C19" s="75">
        <v>53.219865419800001</v>
      </c>
      <c r="D19" s="75">
        <v>57.673068645699999</v>
      </c>
      <c r="E19" s="75">
        <v>53.348464055199997</v>
      </c>
      <c r="F19" s="75">
        <v>73.435332131400003</v>
      </c>
      <c r="G19" s="75">
        <v>81.459718778899997</v>
      </c>
      <c r="H19" s="75">
        <v>83.310486826599998</v>
      </c>
      <c r="I19" s="75">
        <v>87.783324051600005</v>
      </c>
    </row>
    <row r="20" spans="1:9" ht="15" customHeight="1" x14ac:dyDescent="0.25">
      <c r="A20" s="67">
        <v>81</v>
      </c>
      <c r="B20" s="67" t="s">
        <v>244</v>
      </c>
      <c r="C20" s="75">
        <v>356.699271694</v>
      </c>
      <c r="D20" s="75">
        <v>384.97910232499999</v>
      </c>
      <c r="E20" s="75">
        <v>382.00963833999998</v>
      </c>
      <c r="F20" s="75">
        <v>422.09407192200001</v>
      </c>
      <c r="G20" s="75">
        <v>417.114750012</v>
      </c>
      <c r="H20" s="75">
        <v>404.58062329199998</v>
      </c>
      <c r="I20" s="75">
        <v>416.48619162400001</v>
      </c>
    </row>
    <row r="21" spans="1:9" ht="15" customHeight="1" x14ac:dyDescent="0.25">
      <c r="A21" s="67">
        <v>90</v>
      </c>
      <c r="B21" s="79" t="s">
        <v>245</v>
      </c>
      <c r="C21" s="80">
        <v>0</v>
      </c>
      <c r="D21" s="80">
        <v>0</v>
      </c>
      <c r="E21" s="80">
        <v>0</v>
      </c>
      <c r="F21" s="80">
        <v>0</v>
      </c>
      <c r="G21" s="80">
        <v>0</v>
      </c>
      <c r="H21" s="80">
        <v>0</v>
      </c>
      <c r="I21" s="80">
        <v>0</v>
      </c>
    </row>
    <row r="22" spans="1:9" ht="15" customHeight="1" x14ac:dyDescent="0.25">
      <c r="A22" s="67">
        <v>99</v>
      </c>
      <c r="B22" s="79" t="s">
        <v>319</v>
      </c>
      <c r="C22" s="80">
        <v>0</v>
      </c>
      <c r="D22" s="80">
        <v>0</v>
      </c>
      <c r="E22" s="80">
        <v>0</v>
      </c>
      <c r="F22" s="80">
        <v>0</v>
      </c>
      <c r="G22" s="80">
        <v>0</v>
      </c>
      <c r="H22" s="80">
        <v>0</v>
      </c>
      <c r="I22" s="80">
        <v>0</v>
      </c>
    </row>
    <row r="23" spans="1:9" ht="15" customHeight="1" x14ac:dyDescent="0.25">
      <c r="A23" s="76"/>
      <c r="B23" s="65" t="s">
        <v>45</v>
      </c>
      <c r="C23" s="77">
        <v>1975.9155229999999</v>
      </c>
      <c r="D23" s="77">
        <v>2237.21349938</v>
      </c>
      <c r="E23" s="77">
        <v>2113.6125189499999</v>
      </c>
      <c r="F23" s="77">
        <v>2171.4201777399999</v>
      </c>
      <c r="G23" s="77">
        <v>2197.43942152</v>
      </c>
      <c r="H23" s="77">
        <v>2231.8478248500001</v>
      </c>
      <c r="I23" s="77">
        <v>2291.4514267999998</v>
      </c>
    </row>
    <row r="25" spans="1:9" ht="54.75" customHeight="1" x14ac:dyDescent="0.25">
      <c r="A25" s="86" t="s">
        <v>320</v>
      </c>
      <c r="B25" s="86"/>
      <c r="C25" s="86"/>
      <c r="D25" s="86"/>
      <c r="E25" s="86"/>
      <c r="F25" s="86"/>
      <c r="G25" s="86"/>
      <c r="H25" s="86"/>
      <c r="I25" s="86"/>
    </row>
  </sheetData>
  <mergeCells count="1">
    <mergeCell ref="A25:I25"/>
  </mergeCells>
  <pageMargins left="0.75" right="0.75" top="1" bottom="1"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5"/>
  <sheetViews>
    <sheetView showGridLines="0" zoomScaleNormal="100" workbookViewId="0">
      <pane xSplit="2" ySplit="2" topLeftCell="C3" activePane="bottomRight" state="frozen"/>
      <selection pane="topRight" activeCell="C1" sqref="C1"/>
      <selection pane="bottomLeft" activeCell="A3" sqref="A3"/>
      <selection pane="bottomRight"/>
    </sheetView>
  </sheetViews>
  <sheetFormatPr defaultColWidth="8.7109375" defaultRowHeight="15" x14ac:dyDescent="0.25"/>
  <cols>
    <col min="1" max="1" width="9" customWidth="1"/>
    <col min="2" max="2" width="46" customWidth="1"/>
    <col min="3" max="16" width="13" customWidth="1"/>
  </cols>
  <sheetData>
    <row r="1" spans="1:16" ht="15" customHeight="1" x14ac:dyDescent="0.25">
      <c r="A1" s="87" t="s">
        <v>35</v>
      </c>
      <c r="B1" s="87" t="s">
        <v>36</v>
      </c>
      <c r="C1" s="88">
        <v>2019</v>
      </c>
      <c r="D1" s="88"/>
      <c r="E1" s="88">
        <v>2020</v>
      </c>
      <c r="F1" s="88"/>
      <c r="G1" s="88">
        <v>2021</v>
      </c>
      <c r="H1" s="88"/>
      <c r="I1" s="88">
        <v>2022</v>
      </c>
      <c r="J1" s="88"/>
      <c r="K1" s="88">
        <v>2023</v>
      </c>
      <c r="L1" s="88"/>
      <c r="M1" s="88">
        <v>2024</v>
      </c>
      <c r="N1" s="88"/>
      <c r="O1" s="88">
        <v>2025</v>
      </c>
      <c r="P1" s="88"/>
    </row>
    <row r="2" spans="1:16" ht="21.75" customHeight="1" x14ac:dyDescent="0.25">
      <c r="A2" s="87"/>
      <c r="B2" s="87"/>
      <c r="C2" s="81" t="s">
        <v>321</v>
      </c>
      <c r="D2" s="81" t="s">
        <v>322</v>
      </c>
      <c r="E2" s="81" t="s">
        <v>321</v>
      </c>
      <c r="F2" s="81" t="s">
        <v>322</v>
      </c>
      <c r="G2" s="81" t="s">
        <v>321</v>
      </c>
      <c r="H2" s="81" t="s">
        <v>322</v>
      </c>
      <c r="I2" s="81" t="s">
        <v>321</v>
      </c>
      <c r="J2" s="81" t="s">
        <v>322</v>
      </c>
      <c r="K2" s="81" t="s">
        <v>321</v>
      </c>
      <c r="L2" s="81" t="s">
        <v>322</v>
      </c>
      <c r="M2" s="81" t="s">
        <v>321</v>
      </c>
      <c r="N2" s="81" t="s">
        <v>322</v>
      </c>
      <c r="O2" s="81" t="s">
        <v>321</v>
      </c>
      <c r="P2" s="81" t="s">
        <v>322</v>
      </c>
    </row>
    <row r="3" spans="1:16" ht="15" customHeight="1" x14ac:dyDescent="0.25">
      <c r="A3" s="67">
        <v>11</v>
      </c>
      <c r="B3" s="67" t="s">
        <v>226</v>
      </c>
      <c r="C3" s="75">
        <v>45.039063072200001</v>
      </c>
      <c r="D3" s="75">
        <v>665.06647948800003</v>
      </c>
      <c r="E3" s="75">
        <v>77.341708566099996</v>
      </c>
      <c r="F3" s="75">
        <v>683.64716800099995</v>
      </c>
      <c r="G3" s="75">
        <v>127.830552903</v>
      </c>
      <c r="H3" s="75">
        <v>741.63663424699996</v>
      </c>
      <c r="I3" s="75">
        <v>246.79436652999999</v>
      </c>
      <c r="J3" s="75">
        <v>863.09982484499994</v>
      </c>
      <c r="K3" s="75">
        <v>105.802967362</v>
      </c>
      <c r="L3" s="75">
        <v>686.80763398099998</v>
      </c>
      <c r="M3" s="75">
        <v>112.136408653</v>
      </c>
      <c r="N3" s="75">
        <v>674.68948553799999</v>
      </c>
      <c r="O3" s="75">
        <v>177.54825386900001</v>
      </c>
      <c r="P3" s="75">
        <v>732.81831930999999</v>
      </c>
    </row>
    <row r="4" spans="1:16" ht="15" customHeight="1" x14ac:dyDescent="0.25">
      <c r="A4" s="67">
        <v>21</v>
      </c>
      <c r="B4" s="67" t="s">
        <v>227</v>
      </c>
      <c r="C4" s="75">
        <v>71.161642117900001</v>
      </c>
      <c r="D4" s="75">
        <v>244.48721879300001</v>
      </c>
      <c r="E4" s="75">
        <v>71.617462835200001</v>
      </c>
      <c r="F4" s="75">
        <v>261.57039949400001</v>
      </c>
      <c r="G4" s="75">
        <v>79.072788290700004</v>
      </c>
      <c r="H4" s="75">
        <v>289.21853623099997</v>
      </c>
      <c r="I4" s="75">
        <v>56.448536872399998</v>
      </c>
      <c r="J4" s="75">
        <v>277.90341458</v>
      </c>
      <c r="K4" s="75">
        <v>55.580483367399999</v>
      </c>
      <c r="L4" s="75">
        <v>273.37192169600002</v>
      </c>
      <c r="M4" s="75">
        <v>35.413770272199997</v>
      </c>
      <c r="N4" s="75">
        <v>254.92200837799999</v>
      </c>
      <c r="O4" s="75">
        <v>60.242101087099996</v>
      </c>
      <c r="P4" s="75">
        <v>281.75428735600002</v>
      </c>
    </row>
    <row r="5" spans="1:16" ht="15" customHeight="1" x14ac:dyDescent="0.25">
      <c r="A5" s="67">
        <v>22</v>
      </c>
      <c r="B5" s="67" t="s">
        <v>228</v>
      </c>
      <c r="C5" s="75">
        <v>45.185089297799998</v>
      </c>
      <c r="D5" s="75">
        <v>91.904194518200001</v>
      </c>
      <c r="E5" s="75">
        <v>46.120902154900001</v>
      </c>
      <c r="F5" s="75">
        <v>103.132865849</v>
      </c>
      <c r="G5" s="75">
        <v>46.2380246974</v>
      </c>
      <c r="H5" s="75">
        <v>106.75073204100001</v>
      </c>
      <c r="I5" s="75">
        <v>54.749821826500003</v>
      </c>
      <c r="J5" s="75">
        <v>121.341224174</v>
      </c>
      <c r="K5" s="75">
        <v>54.289427932999999</v>
      </c>
      <c r="L5" s="75">
        <v>127.360794111</v>
      </c>
      <c r="M5" s="75">
        <v>57.369539915700003</v>
      </c>
      <c r="N5" s="75">
        <v>129.75887756399999</v>
      </c>
      <c r="O5" s="75">
        <v>58.688929639800001</v>
      </c>
      <c r="P5" s="75">
        <v>136.397675034</v>
      </c>
    </row>
    <row r="6" spans="1:16" ht="15" customHeight="1" x14ac:dyDescent="0.25">
      <c r="A6" s="67">
        <v>23</v>
      </c>
      <c r="B6" s="67" t="s">
        <v>229</v>
      </c>
      <c r="C6" s="75">
        <v>2158.3724313900002</v>
      </c>
      <c r="D6" s="75">
        <v>2555.8269360200002</v>
      </c>
      <c r="E6" s="75">
        <v>2295.56772516</v>
      </c>
      <c r="F6" s="75">
        <v>2749.98115852</v>
      </c>
      <c r="G6" s="75">
        <v>2529.2567082800001</v>
      </c>
      <c r="H6" s="75">
        <v>2978.6058011599998</v>
      </c>
      <c r="I6" s="75">
        <v>2724.1487539</v>
      </c>
      <c r="J6" s="75">
        <v>3204.6135668400002</v>
      </c>
      <c r="K6" s="75">
        <v>2939.9934978000001</v>
      </c>
      <c r="L6" s="75">
        <v>3439.8489666800001</v>
      </c>
      <c r="M6" s="75">
        <v>3205.5456294700002</v>
      </c>
      <c r="N6" s="75">
        <v>3725.7963794500001</v>
      </c>
      <c r="O6" s="75">
        <v>3293.2258592200001</v>
      </c>
      <c r="P6" s="75">
        <v>3834.86678837</v>
      </c>
    </row>
    <row r="7" spans="1:16" ht="15" customHeight="1" x14ac:dyDescent="0.25">
      <c r="A7" s="67">
        <v>31</v>
      </c>
      <c r="B7" s="67" t="s">
        <v>230</v>
      </c>
      <c r="C7" s="75">
        <v>908.12410392499999</v>
      </c>
      <c r="D7" s="75">
        <v>1025.26051235</v>
      </c>
      <c r="E7" s="75">
        <v>968.66612404099999</v>
      </c>
      <c r="F7" s="75">
        <v>1083.4128295400001</v>
      </c>
      <c r="G7" s="75">
        <v>1038.66405648</v>
      </c>
      <c r="H7" s="75">
        <v>1146.5187688399999</v>
      </c>
      <c r="I7" s="75">
        <v>1231.1530263499999</v>
      </c>
      <c r="J7" s="75">
        <v>1355.1137930699999</v>
      </c>
      <c r="K7" s="75">
        <v>1258.9527223099999</v>
      </c>
      <c r="L7" s="75">
        <v>1367.35499691</v>
      </c>
      <c r="M7" s="75">
        <v>1193.2390228100001</v>
      </c>
      <c r="N7" s="75">
        <v>1300.7023912300001</v>
      </c>
      <c r="O7" s="75">
        <v>1088.0416064000001</v>
      </c>
      <c r="P7" s="75">
        <v>1198.2021715000001</v>
      </c>
    </row>
    <row r="8" spans="1:16" ht="15" customHeight="1" x14ac:dyDescent="0.25">
      <c r="A8" s="67">
        <v>42</v>
      </c>
      <c r="B8" s="67" t="s">
        <v>231</v>
      </c>
      <c r="C8" s="75">
        <v>420.19963748800001</v>
      </c>
      <c r="D8" s="75">
        <v>566.04226953099999</v>
      </c>
      <c r="E8" s="75">
        <v>435.86699831599998</v>
      </c>
      <c r="F8" s="75">
        <v>600.56444062100002</v>
      </c>
      <c r="G8" s="75">
        <v>503.335084096</v>
      </c>
      <c r="H8" s="75">
        <v>702.182156072</v>
      </c>
      <c r="I8" s="75">
        <v>610.25220280200006</v>
      </c>
      <c r="J8" s="75">
        <v>813.76559373099997</v>
      </c>
      <c r="K8" s="75">
        <v>561.47499042300001</v>
      </c>
      <c r="L8" s="75">
        <v>761.94128331900004</v>
      </c>
      <c r="M8" s="75">
        <v>531.55508128600002</v>
      </c>
      <c r="N8" s="75">
        <v>734.92589863800004</v>
      </c>
      <c r="O8" s="75">
        <v>520.62931293600002</v>
      </c>
      <c r="P8" s="75">
        <v>731.979069557</v>
      </c>
    </row>
    <row r="9" spans="1:16" ht="15" customHeight="1" x14ac:dyDescent="0.25">
      <c r="A9" s="67">
        <v>44</v>
      </c>
      <c r="B9" s="67" t="s">
        <v>232</v>
      </c>
      <c r="C9" s="75">
        <v>3561.10115722</v>
      </c>
      <c r="D9" s="75">
        <v>4072.9897564500002</v>
      </c>
      <c r="E9" s="75">
        <v>3288.4720934500001</v>
      </c>
      <c r="F9" s="75">
        <v>3852.1157027499999</v>
      </c>
      <c r="G9" s="75">
        <v>3464.1630334400002</v>
      </c>
      <c r="H9" s="75">
        <v>4041.10861643</v>
      </c>
      <c r="I9" s="75">
        <v>3597.7759611199999</v>
      </c>
      <c r="J9" s="75">
        <v>4246.68163138</v>
      </c>
      <c r="K9" s="75">
        <v>3717.52585774</v>
      </c>
      <c r="L9" s="75">
        <v>4320.2404859799999</v>
      </c>
      <c r="M9" s="75">
        <v>3912.8296703999999</v>
      </c>
      <c r="N9" s="75">
        <v>4521.8578561000004</v>
      </c>
      <c r="O9" s="75">
        <v>3788.45769544</v>
      </c>
      <c r="P9" s="75">
        <v>4413.8056641499998</v>
      </c>
    </row>
    <row r="10" spans="1:16" ht="15" customHeight="1" x14ac:dyDescent="0.25">
      <c r="A10" s="67">
        <v>48</v>
      </c>
      <c r="B10" s="67" t="s">
        <v>233</v>
      </c>
      <c r="C10" s="75">
        <v>352.96865425800002</v>
      </c>
      <c r="D10" s="75">
        <v>762.15146071499998</v>
      </c>
      <c r="E10" s="75">
        <v>357.17519886000002</v>
      </c>
      <c r="F10" s="75">
        <v>832.71046729600005</v>
      </c>
      <c r="G10" s="75">
        <v>357.93055465200001</v>
      </c>
      <c r="H10" s="75">
        <v>918.483583447</v>
      </c>
      <c r="I10" s="75">
        <v>347.06383349499998</v>
      </c>
      <c r="J10" s="75">
        <v>966.15795385199999</v>
      </c>
      <c r="K10" s="75">
        <v>333.10187877599998</v>
      </c>
      <c r="L10" s="75">
        <v>956.03458072499996</v>
      </c>
      <c r="M10" s="75">
        <v>259.10401765900002</v>
      </c>
      <c r="N10" s="75">
        <v>894.95833060899997</v>
      </c>
      <c r="O10" s="75">
        <v>233.82125549</v>
      </c>
      <c r="P10" s="75">
        <v>915.51596561400004</v>
      </c>
    </row>
    <row r="11" spans="1:16" ht="15" customHeight="1" x14ac:dyDescent="0.25">
      <c r="A11" s="67">
        <v>51</v>
      </c>
      <c r="B11" s="67" t="s">
        <v>234</v>
      </c>
      <c r="C11" s="75">
        <v>495.33178133799998</v>
      </c>
      <c r="D11" s="75">
        <v>663.75386315599997</v>
      </c>
      <c r="E11" s="75">
        <v>497.98128505699998</v>
      </c>
      <c r="F11" s="75">
        <v>668.360032617</v>
      </c>
      <c r="G11" s="75">
        <v>480.58985569599997</v>
      </c>
      <c r="H11" s="75">
        <v>691.99367177500005</v>
      </c>
      <c r="I11" s="75">
        <v>545.227759279</v>
      </c>
      <c r="J11" s="75">
        <v>779.29521520200001</v>
      </c>
      <c r="K11" s="75">
        <v>537.45788598399997</v>
      </c>
      <c r="L11" s="75">
        <v>834.77224425700001</v>
      </c>
      <c r="M11" s="75">
        <v>501.73112283</v>
      </c>
      <c r="N11" s="75">
        <v>815.38509522499999</v>
      </c>
      <c r="O11" s="75">
        <v>497.63301454100002</v>
      </c>
      <c r="P11" s="75">
        <v>833.91748682599996</v>
      </c>
    </row>
    <row r="12" spans="1:16" ht="15" customHeight="1" x14ac:dyDescent="0.25">
      <c r="A12" s="67">
        <v>52</v>
      </c>
      <c r="B12" s="67" t="s">
        <v>235</v>
      </c>
      <c r="C12" s="75">
        <v>581.19407589499997</v>
      </c>
      <c r="D12" s="75">
        <v>1982.21397402</v>
      </c>
      <c r="E12" s="75">
        <v>578.04072437100001</v>
      </c>
      <c r="F12" s="75">
        <v>2329.96100695</v>
      </c>
      <c r="G12" s="75">
        <v>592.48788124400005</v>
      </c>
      <c r="H12" s="75">
        <v>2580.1790899299999</v>
      </c>
      <c r="I12" s="75">
        <v>671.91493974800005</v>
      </c>
      <c r="J12" s="75">
        <v>3011.1288179600001</v>
      </c>
      <c r="K12" s="75">
        <v>623.16501006500005</v>
      </c>
      <c r="L12" s="75">
        <v>2952.90302522</v>
      </c>
      <c r="M12" s="75">
        <v>617.79065799099999</v>
      </c>
      <c r="N12" s="75">
        <v>2967.0673848500001</v>
      </c>
      <c r="O12" s="75">
        <v>658.25495007200004</v>
      </c>
      <c r="P12" s="75">
        <v>3136.1226910700002</v>
      </c>
    </row>
    <row r="13" spans="1:16" ht="15" customHeight="1" x14ac:dyDescent="0.25">
      <c r="A13" s="67">
        <v>53</v>
      </c>
      <c r="B13" s="67" t="s">
        <v>236</v>
      </c>
      <c r="C13" s="75">
        <v>1623.29040257</v>
      </c>
      <c r="D13" s="75">
        <v>5185.8416917499999</v>
      </c>
      <c r="E13" s="75">
        <v>1542.31223899</v>
      </c>
      <c r="F13" s="75">
        <v>5644.9222671099997</v>
      </c>
      <c r="G13" s="75">
        <v>1640.1606687399999</v>
      </c>
      <c r="H13" s="75">
        <v>6259.6086120800001</v>
      </c>
      <c r="I13" s="75">
        <v>1603.0633295099999</v>
      </c>
      <c r="J13" s="75">
        <v>6812.0230136299997</v>
      </c>
      <c r="K13" s="75">
        <v>1657.4311246100001</v>
      </c>
      <c r="L13" s="75">
        <v>8139.2141944300001</v>
      </c>
      <c r="M13" s="75">
        <v>1622.3946241399999</v>
      </c>
      <c r="N13" s="75">
        <v>8317.2779293200001</v>
      </c>
      <c r="O13" s="75">
        <v>1605.9715776999999</v>
      </c>
      <c r="P13" s="75">
        <v>8810.9786953900002</v>
      </c>
    </row>
    <row r="14" spans="1:16" ht="15" customHeight="1" x14ac:dyDescent="0.25">
      <c r="A14" s="67">
        <v>54</v>
      </c>
      <c r="B14" s="67" t="s">
        <v>237</v>
      </c>
      <c r="C14" s="75">
        <v>1857.5691695200001</v>
      </c>
      <c r="D14" s="75">
        <v>3424.1153724800001</v>
      </c>
      <c r="E14" s="75">
        <v>1788.5702176499999</v>
      </c>
      <c r="F14" s="75">
        <v>3364.29651268</v>
      </c>
      <c r="G14" s="75">
        <v>1855.8647446299999</v>
      </c>
      <c r="H14" s="75">
        <v>3629.37700064</v>
      </c>
      <c r="I14" s="75">
        <v>1936.9397085999999</v>
      </c>
      <c r="J14" s="75">
        <v>3812.4815851100002</v>
      </c>
      <c r="K14" s="75">
        <v>1926.3454091799999</v>
      </c>
      <c r="L14" s="75">
        <v>3952.9525115400002</v>
      </c>
      <c r="M14" s="75">
        <v>1985.0025754200001</v>
      </c>
      <c r="N14" s="75">
        <v>4076.2646559700001</v>
      </c>
      <c r="O14" s="75">
        <v>1984.08716734</v>
      </c>
      <c r="P14" s="75">
        <v>4176.14078453</v>
      </c>
    </row>
    <row r="15" spans="1:16" ht="15" customHeight="1" x14ac:dyDescent="0.25">
      <c r="A15" s="67">
        <v>55</v>
      </c>
      <c r="B15" s="67" t="s">
        <v>238</v>
      </c>
      <c r="C15" s="75">
        <v>261.19109407100001</v>
      </c>
      <c r="D15" s="75">
        <v>315.66863382299999</v>
      </c>
      <c r="E15" s="75">
        <v>224.163722611</v>
      </c>
      <c r="F15" s="75">
        <v>291.84645619999998</v>
      </c>
      <c r="G15" s="75">
        <v>221.658743093</v>
      </c>
      <c r="H15" s="75">
        <v>290.83174307399997</v>
      </c>
      <c r="I15" s="75">
        <v>265.21085804299997</v>
      </c>
      <c r="J15" s="75">
        <v>340.94123373299999</v>
      </c>
      <c r="K15" s="75">
        <v>274.63245589600001</v>
      </c>
      <c r="L15" s="75">
        <v>360.50302003899998</v>
      </c>
      <c r="M15" s="75">
        <v>269.63229612800001</v>
      </c>
      <c r="N15" s="75">
        <v>361.25252072000001</v>
      </c>
      <c r="O15" s="75">
        <v>247.53891444600001</v>
      </c>
      <c r="P15" s="75">
        <v>346.16306552100002</v>
      </c>
    </row>
    <row r="16" spans="1:16" ht="15" customHeight="1" x14ac:dyDescent="0.25">
      <c r="A16" s="67">
        <v>56</v>
      </c>
      <c r="B16" s="67" t="s">
        <v>239</v>
      </c>
      <c r="C16" s="75">
        <v>1110.2057629200001</v>
      </c>
      <c r="D16" s="75">
        <v>1498.3692942499999</v>
      </c>
      <c r="E16" s="75">
        <v>1089.9678736799999</v>
      </c>
      <c r="F16" s="75">
        <v>1486.33488904</v>
      </c>
      <c r="G16" s="75">
        <v>1150.5047517400001</v>
      </c>
      <c r="H16" s="75">
        <v>1601.00949227</v>
      </c>
      <c r="I16" s="75">
        <v>1217.1123173399999</v>
      </c>
      <c r="J16" s="75">
        <v>1665.57939564</v>
      </c>
      <c r="K16" s="75">
        <v>1218.9973036599999</v>
      </c>
      <c r="L16" s="75">
        <v>1711.2963803800001</v>
      </c>
      <c r="M16" s="75">
        <v>1375.42280618</v>
      </c>
      <c r="N16" s="75">
        <v>1866.33394604</v>
      </c>
      <c r="O16" s="75">
        <v>1452.8588641199999</v>
      </c>
      <c r="P16" s="75">
        <v>1961.1094009599999</v>
      </c>
    </row>
    <row r="17" spans="1:16" ht="15" customHeight="1" x14ac:dyDescent="0.25">
      <c r="A17" s="67">
        <v>61</v>
      </c>
      <c r="B17" s="67" t="s">
        <v>240</v>
      </c>
      <c r="C17" s="75">
        <v>559.12368885700005</v>
      </c>
      <c r="D17" s="75">
        <v>700.90819003599995</v>
      </c>
      <c r="E17" s="75">
        <v>475.34357562299999</v>
      </c>
      <c r="F17" s="75">
        <v>566.32873748199995</v>
      </c>
      <c r="G17" s="75">
        <v>482.40675094400001</v>
      </c>
      <c r="H17" s="75">
        <v>578.10701927100001</v>
      </c>
      <c r="I17" s="75">
        <v>530.81543041600003</v>
      </c>
      <c r="J17" s="75">
        <v>667.87035239500005</v>
      </c>
      <c r="K17" s="75">
        <v>554.53087277099996</v>
      </c>
      <c r="L17" s="75">
        <v>672.02271245300005</v>
      </c>
      <c r="M17" s="75">
        <v>559.93357860499998</v>
      </c>
      <c r="N17" s="75">
        <v>675.30419272899996</v>
      </c>
      <c r="O17" s="75">
        <v>583.856552728</v>
      </c>
      <c r="P17" s="75">
        <v>702.06634755699997</v>
      </c>
    </row>
    <row r="18" spans="1:16" ht="15" customHeight="1" x14ac:dyDescent="0.25">
      <c r="A18" s="67">
        <v>62</v>
      </c>
      <c r="B18" s="67" t="s">
        <v>241</v>
      </c>
      <c r="C18" s="75">
        <v>1716.1596881800001</v>
      </c>
      <c r="D18" s="75">
        <v>2013.98451733</v>
      </c>
      <c r="E18" s="75">
        <v>1796.8568481899999</v>
      </c>
      <c r="F18" s="75">
        <v>2065.36448505</v>
      </c>
      <c r="G18" s="75">
        <v>1760.19742382</v>
      </c>
      <c r="H18" s="75">
        <v>2083.6438577099998</v>
      </c>
      <c r="I18" s="75">
        <v>1940.65850452</v>
      </c>
      <c r="J18" s="75">
        <v>2269.6742761300002</v>
      </c>
      <c r="K18" s="75">
        <v>2105.69611919</v>
      </c>
      <c r="L18" s="75">
        <v>2476.0258023900001</v>
      </c>
      <c r="M18" s="75">
        <v>2245.3547683299998</v>
      </c>
      <c r="N18" s="75">
        <v>2625.6886233599998</v>
      </c>
      <c r="O18" s="75">
        <v>2505.4733325100001</v>
      </c>
      <c r="P18" s="75">
        <v>2901.70150724</v>
      </c>
    </row>
    <row r="19" spans="1:16" ht="15" customHeight="1" x14ac:dyDescent="0.25">
      <c r="A19" s="67">
        <v>71</v>
      </c>
      <c r="B19" s="67" t="s">
        <v>242</v>
      </c>
      <c r="C19" s="75">
        <v>3977.1678882900001</v>
      </c>
      <c r="D19" s="75">
        <v>4646.6143994900003</v>
      </c>
      <c r="E19" s="75">
        <v>3430.7910415800002</v>
      </c>
      <c r="F19" s="75">
        <v>4094.5228848100001</v>
      </c>
      <c r="G19" s="75">
        <v>4067.1746520800002</v>
      </c>
      <c r="H19" s="75">
        <v>4773.6485175999996</v>
      </c>
      <c r="I19" s="75">
        <v>4161.7609108099996</v>
      </c>
      <c r="J19" s="75">
        <v>4864.1682995700003</v>
      </c>
      <c r="K19" s="75">
        <v>4007.84761157</v>
      </c>
      <c r="L19" s="75">
        <v>4821.0170605499998</v>
      </c>
      <c r="M19" s="75">
        <v>4107.1389534</v>
      </c>
      <c r="N19" s="75">
        <v>4955.3088222799997</v>
      </c>
      <c r="O19" s="75">
        <v>4283.8692033200005</v>
      </c>
      <c r="P19" s="75">
        <v>5171.5430538099999</v>
      </c>
    </row>
    <row r="20" spans="1:16" ht="15" customHeight="1" x14ac:dyDescent="0.25">
      <c r="A20" s="67">
        <v>72</v>
      </c>
      <c r="B20" s="67" t="s">
        <v>243</v>
      </c>
      <c r="C20" s="75">
        <v>6546.5773902299998</v>
      </c>
      <c r="D20" s="75">
        <v>7156.3198737800003</v>
      </c>
      <c r="E20" s="75">
        <v>5130.5229460299997</v>
      </c>
      <c r="F20" s="75">
        <v>5805.7026459099998</v>
      </c>
      <c r="G20" s="75">
        <v>5614.75331929</v>
      </c>
      <c r="H20" s="75">
        <v>6260.0601023199997</v>
      </c>
      <c r="I20" s="75">
        <v>6190.5649015999998</v>
      </c>
      <c r="J20" s="75">
        <v>6834.24768743</v>
      </c>
      <c r="K20" s="75">
        <v>7341.6183944599998</v>
      </c>
      <c r="L20" s="75">
        <v>8007.6404449499996</v>
      </c>
      <c r="M20" s="75">
        <v>7452.0673450000004</v>
      </c>
      <c r="N20" s="75">
        <v>8142.5537578499998</v>
      </c>
      <c r="O20" s="75">
        <v>7673.5742099400004</v>
      </c>
      <c r="P20" s="75">
        <v>8394.3160738099996</v>
      </c>
    </row>
    <row r="21" spans="1:16" ht="15" customHeight="1" x14ac:dyDescent="0.25">
      <c r="A21" s="67">
        <v>81</v>
      </c>
      <c r="B21" s="67" t="s">
        <v>244</v>
      </c>
      <c r="C21" s="75">
        <v>1970.67562731</v>
      </c>
      <c r="D21" s="75">
        <v>2533.5138078499999</v>
      </c>
      <c r="E21" s="75">
        <v>1812.39354037</v>
      </c>
      <c r="F21" s="75">
        <v>2372.9655391800002</v>
      </c>
      <c r="G21" s="75">
        <v>1811.8913090999999</v>
      </c>
      <c r="H21" s="75">
        <v>2414.8209938499999</v>
      </c>
      <c r="I21" s="75">
        <v>1950.5246519499999</v>
      </c>
      <c r="J21" s="75">
        <v>2582.7977866400001</v>
      </c>
      <c r="K21" s="75">
        <v>2043.1680290100001</v>
      </c>
      <c r="L21" s="75">
        <v>2689.6405152399998</v>
      </c>
      <c r="M21" s="75">
        <v>1997.27144462</v>
      </c>
      <c r="N21" s="75">
        <v>2668.48145755</v>
      </c>
      <c r="O21" s="75">
        <v>2014.40122365</v>
      </c>
      <c r="P21" s="75">
        <v>2709.98711293</v>
      </c>
    </row>
    <row r="22" spans="1:16" ht="15" customHeight="1" x14ac:dyDescent="0.25">
      <c r="A22" s="67">
        <v>90</v>
      </c>
      <c r="B22" s="67" t="s">
        <v>245</v>
      </c>
      <c r="C22" s="75">
        <v>3091.9694496100001</v>
      </c>
      <c r="D22" s="75">
        <v>3091.9694496100001</v>
      </c>
      <c r="E22" s="75">
        <v>2915.1782666300001</v>
      </c>
      <c r="F22" s="75">
        <v>2915.1782666300001</v>
      </c>
      <c r="G22" s="75">
        <v>2881.90982966</v>
      </c>
      <c r="H22" s="75">
        <v>2881.90982966</v>
      </c>
      <c r="I22" s="75">
        <v>2798.6815592299999</v>
      </c>
      <c r="J22" s="75">
        <v>2798.6815592299999</v>
      </c>
      <c r="K22" s="75">
        <v>2905.9537861499998</v>
      </c>
      <c r="L22" s="75">
        <v>2905.9537861499998</v>
      </c>
      <c r="M22" s="75">
        <v>3184.2257116800001</v>
      </c>
      <c r="N22" s="75">
        <v>3184.2257116800001</v>
      </c>
      <c r="O22" s="75">
        <v>3276.55337586</v>
      </c>
      <c r="P22" s="75">
        <v>3276.55337586</v>
      </c>
    </row>
    <row r="23" spans="1:16" ht="15" customHeight="1" x14ac:dyDescent="0.25">
      <c r="A23" s="76"/>
      <c r="B23" s="65" t="s">
        <v>45</v>
      </c>
      <c r="C23" s="77">
        <v>31352.607797600002</v>
      </c>
      <c r="D23" s="77">
        <v>43197.001895399997</v>
      </c>
      <c r="E23" s="77">
        <v>28823.283827499999</v>
      </c>
      <c r="F23" s="77">
        <v>41773.252089100002</v>
      </c>
      <c r="G23" s="77">
        <v>30706.5907329</v>
      </c>
      <c r="H23" s="77">
        <v>44970.194758600002</v>
      </c>
      <c r="I23" s="77">
        <v>32683.444707300001</v>
      </c>
      <c r="J23" s="77">
        <v>48290.149558500001</v>
      </c>
      <c r="K23" s="77">
        <v>34224.565828300001</v>
      </c>
      <c r="L23" s="77">
        <v>51457.902361</v>
      </c>
      <c r="M23" s="77">
        <v>35225.159024799999</v>
      </c>
      <c r="N23" s="77">
        <v>52892.755325099999</v>
      </c>
      <c r="O23" s="77">
        <v>36004.727400299998</v>
      </c>
      <c r="P23" s="77">
        <v>54665.939536400001</v>
      </c>
    </row>
    <row r="25" spans="1:16" ht="54.75" customHeight="1" x14ac:dyDescent="0.25">
      <c r="A25" s="86" t="s">
        <v>323</v>
      </c>
      <c r="B25" s="86"/>
      <c r="C25" s="86"/>
      <c r="D25" s="86"/>
      <c r="E25" s="86"/>
      <c r="F25" s="86"/>
      <c r="G25" s="86"/>
      <c r="H25" s="86"/>
      <c r="I25" s="86"/>
      <c r="J25" s="86"/>
      <c r="K25" s="86"/>
      <c r="L25" s="86"/>
      <c r="M25" s="86"/>
      <c r="N25" s="86"/>
      <c r="O25" s="86"/>
      <c r="P25" s="86"/>
    </row>
  </sheetData>
  <mergeCells count="10">
    <mergeCell ref="I1:J1"/>
    <mergeCell ref="K1:L1"/>
    <mergeCell ref="M1:N1"/>
    <mergeCell ref="O1:P1"/>
    <mergeCell ref="A25:P25"/>
    <mergeCell ref="A1:A2"/>
    <mergeCell ref="B1:B2"/>
    <mergeCell ref="C1:D1"/>
    <mergeCell ref="E1:F1"/>
    <mergeCell ref="G1:H1"/>
  </mergeCells>
  <pageMargins left="0.75" right="0.75" top="1" bottom="1" header="0.511811023622047" footer="0.511811023622047"/>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2"/>
  <sheetViews>
    <sheetView showGridLines="0" zoomScaleNormal="100" workbookViewId="0">
      <pane xSplit="1" ySplit="1" topLeftCell="B2" activePane="bottomRight" state="frozen"/>
      <selection pane="topRight" activeCell="B1" sqref="B1"/>
      <selection pane="bottomLeft" activeCell="A2" sqref="A2"/>
      <selection pane="bottomRight"/>
    </sheetView>
  </sheetViews>
  <sheetFormatPr defaultColWidth="8.7109375" defaultRowHeight="15" x14ac:dyDescent="0.25"/>
  <cols>
    <col min="1" max="1" width="20" customWidth="1"/>
    <col min="2" max="8" width="14" customWidth="1"/>
  </cols>
  <sheetData>
    <row r="1" spans="1:8" ht="30" x14ac:dyDescent="0.25">
      <c r="A1" s="74" t="s">
        <v>177</v>
      </c>
      <c r="B1" s="74" t="s">
        <v>324</v>
      </c>
      <c r="C1" s="74" t="s">
        <v>325</v>
      </c>
      <c r="D1" s="74" t="s">
        <v>326</v>
      </c>
      <c r="E1" s="74" t="s">
        <v>327</v>
      </c>
      <c r="F1" s="74" t="s">
        <v>328</v>
      </c>
      <c r="G1" s="74" t="s">
        <v>329</v>
      </c>
      <c r="H1" s="74" t="s">
        <v>330</v>
      </c>
    </row>
    <row r="2" spans="1:8" x14ac:dyDescent="0.25">
      <c r="A2" s="67" t="s">
        <v>331</v>
      </c>
      <c r="B2" s="82">
        <v>2161</v>
      </c>
      <c r="C2" s="82">
        <v>2104</v>
      </c>
      <c r="D2" s="82">
        <v>2119</v>
      </c>
      <c r="E2" s="82">
        <v>2105</v>
      </c>
      <c r="F2" s="82">
        <v>2050</v>
      </c>
      <c r="G2" s="82">
        <v>2108</v>
      </c>
      <c r="H2" s="82">
        <v>2127.5837078999998</v>
      </c>
    </row>
    <row r="3" spans="1:8" x14ac:dyDescent="0.25">
      <c r="A3" s="67" t="s">
        <v>332</v>
      </c>
      <c r="B3" s="82">
        <v>2677</v>
      </c>
      <c r="C3" s="82">
        <v>2618</v>
      </c>
      <c r="D3" s="82">
        <v>2597</v>
      </c>
      <c r="E3" s="82">
        <v>2528</v>
      </c>
      <c r="F3" s="82">
        <v>2420</v>
      </c>
      <c r="G3" s="82">
        <v>2322</v>
      </c>
      <c r="H3" s="82">
        <v>2259.2718505299999</v>
      </c>
    </row>
    <row r="4" spans="1:8" x14ac:dyDescent="0.25">
      <c r="A4" s="67" t="s">
        <v>333</v>
      </c>
      <c r="B4" s="82">
        <v>3202</v>
      </c>
      <c r="C4" s="82">
        <v>3245</v>
      </c>
      <c r="D4" s="82">
        <v>3225</v>
      </c>
      <c r="E4" s="82">
        <v>3097</v>
      </c>
      <c r="F4" s="82">
        <v>2960</v>
      </c>
      <c r="G4" s="82">
        <v>2813</v>
      </c>
      <c r="H4" s="82">
        <v>2727.14361199</v>
      </c>
    </row>
    <row r="5" spans="1:8" x14ac:dyDescent="0.25">
      <c r="A5" s="67" t="s">
        <v>334</v>
      </c>
      <c r="B5" s="82">
        <v>3052</v>
      </c>
      <c r="C5" s="82">
        <v>3123</v>
      </c>
      <c r="D5" s="82">
        <v>3128</v>
      </c>
      <c r="E5" s="82">
        <v>3163</v>
      </c>
      <c r="F5" s="82">
        <v>3094</v>
      </c>
      <c r="G5" s="82">
        <v>3005</v>
      </c>
      <c r="H5" s="82">
        <v>2934.14271702</v>
      </c>
    </row>
    <row r="6" spans="1:8" x14ac:dyDescent="0.25">
      <c r="A6" s="67" t="s">
        <v>335</v>
      </c>
      <c r="B6" s="82">
        <v>2403</v>
      </c>
      <c r="C6" s="82">
        <v>2381</v>
      </c>
      <c r="D6" s="82">
        <v>2440</v>
      </c>
      <c r="E6" s="82">
        <v>2428</v>
      </c>
      <c r="F6" s="82">
        <v>2628</v>
      </c>
      <c r="G6" s="82">
        <v>2824</v>
      </c>
      <c r="H6" s="82">
        <v>2799.5928982800001</v>
      </c>
    </row>
    <row r="7" spans="1:8" x14ac:dyDescent="0.25">
      <c r="A7" s="67" t="s">
        <v>336</v>
      </c>
      <c r="B7" s="82">
        <v>2434</v>
      </c>
      <c r="C7" s="82">
        <v>2370</v>
      </c>
      <c r="D7" s="82">
        <v>2419</v>
      </c>
      <c r="E7" s="82">
        <v>2380</v>
      </c>
      <c r="F7" s="82">
        <v>2377</v>
      </c>
      <c r="G7" s="82">
        <v>2457</v>
      </c>
      <c r="H7" s="82">
        <v>2563.58417134</v>
      </c>
    </row>
    <row r="8" spans="1:8" x14ac:dyDescent="0.25">
      <c r="A8" s="67" t="s">
        <v>337</v>
      </c>
      <c r="B8" s="82">
        <v>2426</v>
      </c>
      <c r="C8" s="82">
        <v>2420</v>
      </c>
      <c r="D8" s="82">
        <v>2418</v>
      </c>
      <c r="E8" s="82">
        <v>2383</v>
      </c>
      <c r="F8" s="82">
        <v>2307</v>
      </c>
      <c r="G8" s="82">
        <v>2309</v>
      </c>
      <c r="H8" s="82">
        <v>2275.8538023199999</v>
      </c>
    </row>
    <row r="9" spans="1:8" x14ac:dyDescent="0.25">
      <c r="A9" s="67" t="s">
        <v>338</v>
      </c>
      <c r="B9" s="82">
        <v>2607</v>
      </c>
      <c r="C9" s="82">
        <v>2622</v>
      </c>
      <c r="D9" s="82">
        <v>2675</v>
      </c>
      <c r="E9" s="82">
        <v>2676</v>
      </c>
      <c r="F9" s="82">
        <v>2539</v>
      </c>
      <c r="G9" s="82">
        <v>2543</v>
      </c>
      <c r="H9" s="82">
        <v>2543.5322847399998</v>
      </c>
    </row>
    <row r="10" spans="1:8" x14ac:dyDescent="0.25">
      <c r="A10" s="67" t="s">
        <v>339</v>
      </c>
      <c r="B10" s="82">
        <v>2848</v>
      </c>
      <c r="C10" s="82">
        <v>2929</v>
      </c>
      <c r="D10" s="82">
        <v>3031</v>
      </c>
      <c r="E10" s="82">
        <v>3007</v>
      </c>
      <c r="F10" s="82">
        <v>2968</v>
      </c>
      <c r="G10" s="82">
        <v>2920</v>
      </c>
      <c r="H10" s="82">
        <v>2856.8504567999998</v>
      </c>
    </row>
    <row r="11" spans="1:8" x14ac:dyDescent="0.25">
      <c r="A11" s="67" t="s">
        <v>340</v>
      </c>
      <c r="B11" s="82">
        <v>3110</v>
      </c>
      <c r="C11" s="82">
        <v>3046</v>
      </c>
      <c r="D11" s="82">
        <v>2974</v>
      </c>
      <c r="E11" s="82">
        <v>2960</v>
      </c>
      <c r="F11" s="82">
        <v>2934</v>
      </c>
      <c r="G11" s="82">
        <v>2976</v>
      </c>
      <c r="H11" s="82">
        <v>2988.0737219799998</v>
      </c>
    </row>
    <row r="12" spans="1:8" x14ac:dyDescent="0.25">
      <c r="A12" s="67" t="s">
        <v>341</v>
      </c>
      <c r="B12" s="82">
        <v>3156</v>
      </c>
      <c r="C12" s="82">
        <v>3212</v>
      </c>
      <c r="D12" s="82">
        <v>3335</v>
      </c>
      <c r="E12" s="82">
        <v>3308</v>
      </c>
      <c r="F12" s="82">
        <v>3251</v>
      </c>
      <c r="G12" s="82">
        <v>3119</v>
      </c>
      <c r="H12" s="82">
        <v>3068.1956258199998</v>
      </c>
    </row>
    <row r="13" spans="1:8" x14ac:dyDescent="0.25">
      <c r="A13" s="67" t="s">
        <v>342</v>
      </c>
      <c r="B13" s="82">
        <v>3250</v>
      </c>
      <c r="C13" s="82">
        <v>3265</v>
      </c>
      <c r="D13" s="82">
        <v>3220</v>
      </c>
      <c r="E13" s="82">
        <v>3232</v>
      </c>
      <c r="F13" s="82">
        <v>3175</v>
      </c>
      <c r="G13" s="82">
        <v>3138</v>
      </c>
      <c r="H13" s="82">
        <v>3166.65471716</v>
      </c>
    </row>
    <row r="14" spans="1:8" x14ac:dyDescent="0.25">
      <c r="A14" s="67" t="s">
        <v>343</v>
      </c>
      <c r="B14" s="82">
        <v>3108</v>
      </c>
      <c r="C14" s="82">
        <v>3209</v>
      </c>
      <c r="D14" s="82">
        <v>3233</v>
      </c>
      <c r="E14" s="82">
        <v>3159</v>
      </c>
      <c r="F14" s="82">
        <v>3137</v>
      </c>
      <c r="G14" s="82">
        <v>3145</v>
      </c>
      <c r="H14" s="82">
        <v>3077.5494288599998</v>
      </c>
    </row>
    <row r="15" spans="1:8" x14ac:dyDescent="0.25">
      <c r="A15" s="67" t="s">
        <v>344</v>
      </c>
      <c r="B15" s="82">
        <v>2294</v>
      </c>
      <c r="C15" s="82">
        <v>2439</v>
      </c>
      <c r="D15" s="82">
        <v>2587</v>
      </c>
      <c r="E15" s="82">
        <v>2723</v>
      </c>
      <c r="F15" s="82">
        <v>2834</v>
      </c>
      <c r="G15" s="82">
        <v>2911</v>
      </c>
      <c r="H15" s="82">
        <v>2970.4546371000001</v>
      </c>
    </row>
    <row r="16" spans="1:8" x14ac:dyDescent="0.25">
      <c r="A16" s="67" t="s">
        <v>345</v>
      </c>
      <c r="B16" s="82">
        <v>1561</v>
      </c>
      <c r="C16" s="82">
        <v>1650</v>
      </c>
      <c r="D16" s="82">
        <v>1778</v>
      </c>
      <c r="E16" s="82">
        <v>1797</v>
      </c>
      <c r="F16" s="82">
        <v>1913</v>
      </c>
      <c r="G16" s="82">
        <v>1993</v>
      </c>
      <c r="H16" s="82">
        <v>2107.21329565</v>
      </c>
    </row>
    <row r="17" spans="1:8" x14ac:dyDescent="0.25">
      <c r="A17" s="67" t="s">
        <v>346</v>
      </c>
      <c r="B17" s="82">
        <v>984</v>
      </c>
      <c r="C17" s="82">
        <v>1032</v>
      </c>
      <c r="D17" s="82">
        <v>1082</v>
      </c>
      <c r="E17" s="82">
        <v>1198</v>
      </c>
      <c r="F17" s="82">
        <v>1252</v>
      </c>
      <c r="G17" s="82">
        <v>1335</v>
      </c>
      <c r="H17" s="82">
        <v>1424.74742947</v>
      </c>
    </row>
    <row r="18" spans="1:8" x14ac:dyDescent="0.25">
      <c r="A18" s="67" t="s">
        <v>347</v>
      </c>
      <c r="B18" s="82">
        <v>456</v>
      </c>
      <c r="C18" s="82">
        <v>458</v>
      </c>
      <c r="D18" s="82">
        <v>511</v>
      </c>
      <c r="E18" s="82">
        <v>579</v>
      </c>
      <c r="F18" s="82">
        <v>675</v>
      </c>
      <c r="G18" s="82">
        <v>740</v>
      </c>
      <c r="H18" s="82">
        <v>801.46462582300001</v>
      </c>
    </row>
    <row r="19" spans="1:8" x14ac:dyDescent="0.25">
      <c r="A19" s="67" t="s">
        <v>348</v>
      </c>
      <c r="B19" s="82">
        <v>352</v>
      </c>
      <c r="C19" s="82">
        <v>362</v>
      </c>
      <c r="D19" s="82">
        <v>410</v>
      </c>
      <c r="E19" s="82">
        <v>411</v>
      </c>
      <c r="F19" s="82">
        <v>425</v>
      </c>
      <c r="G19" s="82">
        <v>451</v>
      </c>
      <c r="H19" s="82">
        <v>486.17789322200002</v>
      </c>
    </row>
    <row r="20" spans="1:8" x14ac:dyDescent="0.25">
      <c r="A20" s="65" t="s">
        <v>349</v>
      </c>
      <c r="B20" s="83">
        <f t="shared" ref="B20:H20" si="0">SUM(B2:B19)</f>
        <v>42081</v>
      </c>
      <c r="C20" s="83">
        <f t="shared" si="0"/>
        <v>42485</v>
      </c>
      <c r="D20" s="83">
        <f t="shared" si="0"/>
        <v>43182</v>
      </c>
      <c r="E20" s="83">
        <f t="shared" si="0"/>
        <v>43134</v>
      </c>
      <c r="F20" s="83">
        <f t="shared" si="0"/>
        <v>42939</v>
      </c>
      <c r="G20" s="83">
        <f t="shared" si="0"/>
        <v>43109</v>
      </c>
      <c r="H20" s="83">
        <f t="shared" si="0"/>
        <v>43178.086876004993</v>
      </c>
    </row>
    <row r="22" spans="1:8" ht="27.75" customHeight="1" x14ac:dyDescent="0.25">
      <c r="A22" s="86" t="s">
        <v>350</v>
      </c>
      <c r="B22" s="86"/>
      <c r="C22" s="86"/>
      <c r="D22" s="86"/>
      <c r="E22" s="86"/>
      <c r="F22" s="86"/>
      <c r="G22" s="86"/>
      <c r="H22" s="86"/>
    </row>
  </sheetData>
  <mergeCells count="1">
    <mergeCell ref="A22:H22"/>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46"/>
  <sheetViews>
    <sheetView showGridLines="0" zoomScaleNormal="100" workbookViewId="0">
      <pane xSplit="2" ySplit="9" topLeftCell="C10" activePane="bottomRight" state="frozen"/>
      <selection pane="topRight" activeCell="C1" sqref="C1"/>
      <selection pane="bottomLeft" activeCell="A10" sqref="A10"/>
      <selection pane="bottomRight"/>
    </sheetView>
  </sheetViews>
  <sheetFormatPr defaultColWidth="8.7109375" defaultRowHeight="15" x14ac:dyDescent="0.25"/>
  <cols>
    <col min="1" max="1" width="3" customWidth="1"/>
    <col min="2" max="2" width="9" customWidth="1"/>
    <col min="3" max="3" width="42" customWidth="1"/>
    <col min="4" max="5" width="15" customWidth="1"/>
    <col min="6" max="6" width="14" customWidth="1"/>
    <col min="7" max="9" width="12" customWidth="1"/>
    <col min="10" max="10" width="13" customWidth="1"/>
    <col min="11" max="11" width="16" customWidth="1"/>
  </cols>
  <sheetData>
    <row r="2" spans="2:11" ht="19.5" customHeight="1" x14ac:dyDescent="0.3">
      <c r="B2" s="15" t="s">
        <v>26</v>
      </c>
    </row>
    <row r="3" spans="2:11" ht="15" customHeight="1" x14ac:dyDescent="0.25">
      <c r="B3" s="16" t="s">
        <v>27</v>
      </c>
    </row>
    <row r="4" spans="2:11" ht="19.5" customHeight="1" x14ac:dyDescent="0.25">
      <c r="B4" s="14" t="s">
        <v>28</v>
      </c>
      <c r="C4" s="14"/>
      <c r="D4" s="14"/>
      <c r="E4" s="14"/>
      <c r="F4" s="14"/>
      <c r="G4" s="14"/>
      <c r="H4" s="14"/>
      <c r="I4" s="14"/>
      <c r="J4" s="14"/>
    </row>
    <row r="5" spans="2:11" ht="15" customHeight="1" x14ac:dyDescent="0.25">
      <c r="B5" s="11" t="s">
        <v>29</v>
      </c>
      <c r="C5" s="11"/>
      <c r="D5" s="11" t="s">
        <v>30</v>
      </c>
      <c r="E5" s="11"/>
      <c r="F5" s="11" t="s">
        <v>31</v>
      </c>
      <c r="G5" s="11"/>
      <c r="H5" s="11" t="s">
        <v>32</v>
      </c>
      <c r="I5" s="11"/>
      <c r="J5" s="11" t="s">
        <v>33</v>
      </c>
      <c r="K5" s="11"/>
    </row>
    <row r="6" spans="2:11" ht="27.75" customHeight="1" x14ac:dyDescent="0.35">
      <c r="B6" s="10">
        <f>'GRP Data'!C23</f>
        <v>4011006149.0718002</v>
      </c>
      <c r="C6" s="10"/>
      <c r="D6" s="10">
        <f>'GRP Data'!I23</f>
        <v>7003213223.3896008</v>
      </c>
      <c r="E6" s="10"/>
      <c r="F6" s="9">
        <f>D6/B6-1</f>
        <v>0.74599912418739045</v>
      </c>
      <c r="G6" s="9"/>
      <c r="H6" s="8">
        <f>COUNTIF(K10:K30,"Gaining share")</f>
        <v>3</v>
      </c>
      <c r="I6" s="8"/>
      <c r="J6" s="8">
        <f>COUNTIF(K10:K30,"Losing share")</f>
        <v>1</v>
      </c>
      <c r="K6" s="8"/>
    </row>
    <row r="8" spans="2:11" ht="19.5" customHeight="1" x14ac:dyDescent="0.25">
      <c r="B8" s="14" t="s">
        <v>34</v>
      </c>
      <c r="C8" s="14"/>
      <c r="D8" s="14"/>
      <c r="E8" s="14"/>
      <c r="F8" s="14"/>
      <c r="G8" s="14"/>
      <c r="H8" s="14"/>
      <c r="I8" s="14"/>
      <c r="J8" s="14"/>
    </row>
    <row r="9" spans="2:11" ht="26.25" customHeight="1" x14ac:dyDescent="0.25">
      <c r="B9" s="20" t="s">
        <v>35</v>
      </c>
      <c r="C9" s="20" t="s">
        <v>36</v>
      </c>
      <c r="D9" s="20" t="s">
        <v>37</v>
      </c>
      <c r="E9" s="20" t="s">
        <v>38</v>
      </c>
      <c r="F9" s="20" t="s">
        <v>39</v>
      </c>
      <c r="G9" s="20" t="s">
        <v>40</v>
      </c>
      <c r="H9" s="20" t="s">
        <v>41</v>
      </c>
      <c r="I9" s="20" t="s">
        <v>42</v>
      </c>
      <c r="J9" s="20" t="s">
        <v>43</v>
      </c>
      <c r="K9" s="20" t="s">
        <v>44</v>
      </c>
    </row>
    <row r="10" spans="2:11" ht="15" customHeight="1" x14ac:dyDescent="0.25">
      <c r="B10" s="27">
        <f>IF('GRP Data'!A2="","",'GRP Data'!A2)</f>
        <v>11</v>
      </c>
      <c r="C10" s="27" t="str">
        <f>'GRP Data'!B2</f>
        <v>Agriculture, Forestry, Fishing and Hunting</v>
      </c>
      <c r="D10" s="28">
        <f>'GRP Data'!C2</f>
        <v>22857905.224599998</v>
      </c>
      <c r="E10" s="28">
        <f>'GRP Data'!I2</f>
        <v>51707800.327200003</v>
      </c>
      <c r="F10" s="28">
        <f t="shared" ref="F10:F31" si="0">E10-D10</f>
        <v>28849895.102600005</v>
      </c>
      <c r="G10" s="22">
        <f t="shared" ref="G10:G31" si="1">(E10-D10)/D10</f>
        <v>1.2621408138288781</v>
      </c>
      <c r="H10" s="29">
        <f>D10/'GRP Data'!$C$23</f>
        <v>5.6987958569671149E-3</v>
      </c>
      <c r="I10" s="29">
        <f>E10/'GRP Data'!$I$23</f>
        <v>7.383439383868008E-3</v>
      </c>
      <c r="J10" s="30">
        <f t="shared" ref="J10:J30" si="2">(I10-H10)*100</f>
        <v>0.1684643526900893</v>
      </c>
      <c r="K10" s="21" t="str">
        <f t="shared" ref="K10:K30" si="3">IF(J10&gt;0.5,"Gaining share",IF(J10&lt;-0.5,"Losing share","Stable share"))</f>
        <v>Stable share</v>
      </c>
    </row>
    <row r="11" spans="2:11" ht="15" customHeight="1" x14ac:dyDescent="0.25">
      <c r="B11" s="31">
        <f>IF('GRP Data'!A3="","",'GRP Data'!A3)</f>
        <v>21</v>
      </c>
      <c r="C11" s="31" t="str">
        <f>'GRP Data'!B3</f>
        <v>Mining, Quarrying, and Oil and Gas Extraction</v>
      </c>
      <c r="D11" s="32">
        <f>'GRP Data'!C3</f>
        <v>27579921.050099999</v>
      </c>
      <c r="E11" s="32">
        <f>'GRP Data'!I3</f>
        <v>40723598.037100002</v>
      </c>
      <c r="F11" s="32">
        <f t="shared" si="0"/>
        <v>13143676.987000003</v>
      </c>
      <c r="G11" s="25">
        <f t="shared" si="1"/>
        <v>0.47656688223015586</v>
      </c>
      <c r="H11" s="33">
        <f>D11/'GRP Data'!$C$23</f>
        <v>6.8760605257317687E-3</v>
      </c>
      <c r="I11" s="33">
        <f>E11/'GRP Data'!$I$23</f>
        <v>5.8149875975630396E-3</v>
      </c>
      <c r="J11" s="34">
        <f t="shared" si="2"/>
        <v>-0.10610729281687291</v>
      </c>
      <c r="K11" s="24" t="str">
        <f t="shared" si="3"/>
        <v>Stable share</v>
      </c>
    </row>
    <row r="12" spans="2:11" ht="15" customHeight="1" x14ac:dyDescent="0.25">
      <c r="B12" s="27">
        <f>IF('GRP Data'!A4="","",'GRP Data'!A4)</f>
        <v>22</v>
      </c>
      <c r="C12" s="27" t="str">
        <f>'GRP Data'!B4</f>
        <v>Utilities</v>
      </c>
      <c r="D12" s="28">
        <f>'GRP Data'!C4</f>
        <v>23682634.5898</v>
      </c>
      <c r="E12" s="28">
        <f>'GRP Data'!I4</f>
        <v>54554329.710900001</v>
      </c>
      <c r="F12" s="28">
        <f t="shared" si="0"/>
        <v>30871695.121100001</v>
      </c>
      <c r="G12" s="22">
        <f t="shared" si="1"/>
        <v>1.3035583099524026</v>
      </c>
      <c r="H12" s="29">
        <f>D12/'GRP Data'!$C$23</f>
        <v>5.9044124365853871E-3</v>
      </c>
      <c r="I12" s="29">
        <f>E12/'GRP Data'!$I$23</f>
        <v>7.7898998603522958E-3</v>
      </c>
      <c r="J12" s="30">
        <f t="shared" si="2"/>
        <v>0.18854874237669086</v>
      </c>
      <c r="K12" s="21" t="str">
        <f t="shared" si="3"/>
        <v>Stable share</v>
      </c>
    </row>
    <row r="13" spans="2:11" ht="15" customHeight="1" x14ac:dyDescent="0.25">
      <c r="B13" s="31">
        <f>IF('GRP Data'!A5="","",'GRP Data'!A5)</f>
        <v>23</v>
      </c>
      <c r="C13" s="31" t="str">
        <f>'GRP Data'!B5</f>
        <v>Construction</v>
      </c>
      <c r="D13" s="32">
        <f>'GRP Data'!C5</f>
        <v>193121876.63299999</v>
      </c>
      <c r="E13" s="32">
        <f>'GRP Data'!I5</f>
        <v>429983832.26099998</v>
      </c>
      <c r="F13" s="32">
        <f t="shared" si="0"/>
        <v>236861955.62799999</v>
      </c>
      <c r="G13" s="25">
        <f t="shared" si="1"/>
        <v>1.2264895088924683</v>
      </c>
      <c r="H13" s="33">
        <f>D13/'GRP Data'!$C$23</f>
        <v>4.8147988174411287E-2</v>
      </c>
      <c r="I13" s="33">
        <f>E13/'GRP Data'!$I$23</f>
        <v>6.1398078074350708E-2</v>
      </c>
      <c r="J13" s="34">
        <f t="shared" si="2"/>
        <v>1.3250089899939421</v>
      </c>
      <c r="K13" s="24" t="str">
        <f t="shared" si="3"/>
        <v>Gaining share</v>
      </c>
    </row>
    <row r="14" spans="2:11" ht="15" customHeight="1" x14ac:dyDescent="0.25">
      <c r="B14" s="27">
        <f>IF('GRP Data'!A6="","",'GRP Data'!A6)</f>
        <v>31</v>
      </c>
      <c r="C14" s="27" t="str">
        <f>'GRP Data'!B6</f>
        <v>Manufacturing</v>
      </c>
      <c r="D14" s="28">
        <f>'GRP Data'!C6</f>
        <v>139150921.361</v>
      </c>
      <c r="E14" s="28">
        <f>'GRP Data'!I6</f>
        <v>223159835.15099999</v>
      </c>
      <c r="F14" s="28">
        <f t="shared" si="0"/>
        <v>84008913.789999992</v>
      </c>
      <c r="G14" s="22">
        <f t="shared" si="1"/>
        <v>0.60372517097501066</v>
      </c>
      <c r="H14" s="29">
        <f>D14/'GRP Data'!$C$23</f>
        <v>3.4692273257472157E-2</v>
      </c>
      <c r="I14" s="29">
        <f>E14/'GRP Data'!$I$23</f>
        <v>3.1865349237930128E-2</v>
      </c>
      <c r="J14" s="30">
        <f t="shared" si="2"/>
        <v>-0.28269240195420292</v>
      </c>
      <c r="K14" s="21" t="str">
        <f t="shared" si="3"/>
        <v>Stable share</v>
      </c>
    </row>
    <row r="15" spans="2:11" ht="15" customHeight="1" x14ac:dyDescent="0.25">
      <c r="B15" s="31">
        <f>IF('GRP Data'!A7="","",'GRP Data'!A7)</f>
        <v>42</v>
      </c>
      <c r="C15" s="31" t="str">
        <f>'GRP Data'!B7</f>
        <v>Wholesale Trade</v>
      </c>
      <c r="D15" s="32">
        <f>'GRP Data'!C7</f>
        <v>89547828.392299995</v>
      </c>
      <c r="E15" s="32">
        <f>'GRP Data'!I7</f>
        <v>183373843.669</v>
      </c>
      <c r="F15" s="32">
        <f t="shared" si="0"/>
        <v>93826015.276700005</v>
      </c>
      <c r="G15" s="25">
        <f t="shared" si="1"/>
        <v>1.0477754397980228</v>
      </c>
      <c r="H15" s="33">
        <f>D15/'GRP Data'!$C$23</f>
        <v>2.2325527576920454E-2</v>
      </c>
      <c r="I15" s="33">
        <f>E15/'GRP Data'!$I$23</f>
        <v>2.6184243977687413E-2</v>
      </c>
      <c r="J15" s="34">
        <f t="shared" si="2"/>
        <v>0.38587164007669594</v>
      </c>
      <c r="K15" s="24" t="str">
        <f t="shared" si="3"/>
        <v>Stable share</v>
      </c>
    </row>
    <row r="16" spans="2:11" ht="15" customHeight="1" x14ac:dyDescent="0.25">
      <c r="B16" s="27">
        <f>IF('GRP Data'!A8="","",'GRP Data'!A8)</f>
        <v>44</v>
      </c>
      <c r="C16" s="27" t="str">
        <f>'GRP Data'!B8</f>
        <v>Retail Trade</v>
      </c>
      <c r="D16" s="28">
        <f>'GRP Data'!C8</f>
        <v>270234366.81099999</v>
      </c>
      <c r="E16" s="28">
        <f>'GRP Data'!I8</f>
        <v>451142877.24000001</v>
      </c>
      <c r="F16" s="28">
        <f t="shared" si="0"/>
        <v>180908510.42900002</v>
      </c>
      <c r="G16" s="22">
        <f t="shared" si="1"/>
        <v>0.66945042025511936</v>
      </c>
      <c r="H16" s="29">
        <f>D16/'GRP Data'!$C$23</f>
        <v>6.7373211799621843E-2</v>
      </c>
      <c r="I16" s="29">
        <f>E16/'GRP Data'!$I$23</f>
        <v>6.4419411896992615E-2</v>
      </c>
      <c r="J16" s="30">
        <f t="shared" si="2"/>
        <v>-0.29537999026292283</v>
      </c>
      <c r="K16" s="21" t="str">
        <f t="shared" si="3"/>
        <v>Stable share</v>
      </c>
    </row>
    <row r="17" spans="2:11" ht="15" customHeight="1" x14ac:dyDescent="0.25">
      <c r="B17" s="31">
        <f>IF('GRP Data'!A9="","",'GRP Data'!A9)</f>
        <v>48</v>
      </c>
      <c r="C17" s="31" t="str">
        <f>'GRP Data'!B9</f>
        <v>Transportation and Warehousing</v>
      </c>
      <c r="D17" s="32">
        <f>'GRP Data'!C9</f>
        <v>32806620.751400001</v>
      </c>
      <c r="E17" s="32">
        <f>'GRP Data'!I9</f>
        <v>37325789.787799999</v>
      </c>
      <c r="F17" s="32">
        <f t="shared" si="0"/>
        <v>4519169.0363999978</v>
      </c>
      <c r="G17" s="25">
        <f t="shared" si="1"/>
        <v>0.13775173830444409</v>
      </c>
      <c r="H17" s="33">
        <f>D17/'GRP Data'!$C$23</f>
        <v>8.1791499519370935E-3</v>
      </c>
      <c r="I17" s="33">
        <f>E17/'GRP Data'!$I$23</f>
        <v>5.329809131490941E-3</v>
      </c>
      <c r="J17" s="34">
        <f t="shared" si="2"/>
        <v>-0.28493408204461523</v>
      </c>
      <c r="K17" s="24" t="str">
        <f t="shared" si="3"/>
        <v>Stable share</v>
      </c>
    </row>
    <row r="18" spans="2:11" ht="15" customHeight="1" x14ac:dyDescent="0.25">
      <c r="B18" s="27">
        <f>IF('GRP Data'!A10="","",'GRP Data'!A10)</f>
        <v>51</v>
      </c>
      <c r="C18" s="27" t="str">
        <f>'GRP Data'!B10</f>
        <v>Information</v>
      </c>
      <c r="D18" s="28">
        <f>'GRP Data'!C10</f>
        <v>122828051.293</v>
      </c>
      <c r="E18" s="28">
        <f>'GRP Data'!I10</f>
        <v>197473547.80700001</v>
      </c>
      <c r="F18" s="28">
        <f t="shared" si="0"/>
        <v>74645496.514000013</v>
      </c>
      <c r="G18" s="22">
        <f t="shared" si="1"/>
        <v>0.60772352673687724</v>
      </c>
      <c r="H18" s="29">
        <f>D18/'GRP Data'!$C$23</f>
        <v>3.0622753176637246E-2</v>
      </c>
      <c r="I18" s="29">
        <f>E18/'GRP Data'!$I$23</f>
        <v>2.8197563248177317E-2</v>
      </c>
      <c r="J18" s="30">
        <f t="shared" si="2"/>
        <v>-0.24251899284599282</v>
      </c>
      <c r="K18" s="21" t="str">
        <f t="shared" si="3"/>
        <v>Stable share</v>
      </c>
    </row>
    <row r="19" spans="2:11" ht="15" customHeight="1" x14ac:dyDescent="0.25">
      <c r="B19" s="31">
        <f>IF('GRP Data'!A11="","",'GRP Data'!A11)</f>
        <v>52</v>
      </c>
      <c r="C19" s="31" t="str">
        <f>'GRP Data'!B11</f>
        <v>Finance and Insurance</v>
      </c>
      <c r="D19" s="32">
        <f>'GRP Data'!C11</f>
        <v>240067864.39399999</v>
      </c>
      <c r="E19" s="32">
        <f>'GRP Data'!I11</f>
        <v>459200342.75</v>
      </c>
      <c r="F19" s="32">
        <f t="shared" si="0"/>
        <v>219132478.35600001</v>
      </c>
      <c r="G19" s="25">
        <f t="shared" si="1"/>
        <v>0.91279388396757355</v>
      </c>
      <c r="H19" s="33">
        <f>D19/'GRP Data'!$C$23</f>
        <v>5.985228031863149E-2</v>
      </c>
      <c r="I19" s="33">
        <f>E19/'GRP Data'!$I$23</f>
        <v>6.5569950264593543E-2</v>
      </c>
      <c r="J19" s="34">
        <f t="shared" si="2"/>
        <v>0.57176699459620539</v>
      </c>
      <c r="K19" s="24" t="str">
        <f t="shared" si="3"/>
        <v>Gaining share</v>
      </c>
    </row>
    <row r="20" spans="2:11" ht="15" customHeight="1" x14ac:dyDescent="0.25">
      <c r="B20" s="27">
        <f>IF('GRP Data'!A12="","",'GRP Data'!A12)</f>
        <v>53</v>
      </c>
      <c r="C20" s="27" t="str">
        <f>'GRP Data'!B12</f>
        <v>Real Estate and Rental and Leasing</v>
      </c>
      <c r="D20" s="28">
        <f>'GRP Data'!C12</f>
        <v>454498752.86500001</v>
      </c>
      <c r="E20" s="28">
        <f>'GRP Data'!I12</f>
        <v>785003324.06799996</v>
      </c>
      <c r="F20" s="28">
        <f t="shared" si="0"/>
        <v>330504571.20299995</v>
      </c>
      <c r="G20" s="22">
        <f t="shared" si="1"/>
        <v>0.72718477029830242</v>
      </c>
      <c r="H20" s="29">
        <f>D20/'GRP Data'!$C$23</f>
        <v>0.1133129035392222</v>
      </c>
      <c r="I20" s="29">
        <f>E20/'GRP Data'!$I$23</f>
        <v>0.11209187826042703</v>
      </c>
      <c r="J20" s="30">
        <f t="shared" si="2"/>
        <v>-0.12210252787951681</v>
      </c>
      <c r="K20" s="21" t="str">
        <f t="shared" si="3"/>
        <v>Stable share</v>
      </c>
    </row>
    <row r="21" spans="2:11" ht="15" customHeight="1" x14ac:dyDescent="0.25">
      <c r="B21" s="31">
        <f>IF('GRP Data'!A13="","",'GRP Data'!A13)</f>
        <v>54</v>
      </c>
      <c r="C21" s="31" t="str">
        <f>'GRP Data'!B13</f>
        <v>Professional, Scientific, and Technical Services</v>
      </c>
      <c r="D21" s="32">
        <f>'GRP Data'!C13</f>
        <v>289785082.06099999</v>
      </c>
      <c r="E21" s="32">
        <f>'GRP Data'!I13</f>
        <v>482487842.42799997</v>
      </c>
      <c r="F21" s="32">
        <f t="shared" si="0"/>
        <v>192702760.36699998</v>
      </c>
      <c r="G21" s="25">
        <f t="shared" si="1"/>
        <v>0.66498509514867266</v>
      </c>
      <c r="H21" s="33">
        <f>D21/'GRP Data'!$C$23</f>
        <v>7.2247478884583632E-2</v>
      </c>
      <c r="I21" s="33">
        <f>E21/'GRP Data'!$I$23</f>
        <v>6.8895209532756838E-2</v>
      </c>
      <c r="J21" s="34">
        <f t="shared" si="2"/>
        <v>-0.33522693518267949</v>
      </c>
      <c r="K21" s="24" t="str">
        <f t="shared" si="3"/>
        <v>Stable share</v>
      </c>
    </row>
    <row r="22" spans="2:11" ht="15" customHeight="1" x14ac:dyDescent="0.25">
      <c r="B22" s="27">
        <f>IF('GRP Data'!A14="","",'GRP Data'!A14)</f>
        <v>55</v>
      </c>
      <c r="C22" s="27" t="str">
        <f>'GRP Data'!B14</f>
        <v>Management of Companies and Enterprises</v>
      </c>
      <c r="D22" s="28">
        <f>'GRP Data'!C14</f>
        <v>40502832.566699997</v>
      </c>
      <c r="E22" s="28">
        <f>'GRP Data'!I14</f>
        <v>71194313.658899993</v>
      </c>
      <c r="F22" s="28">
        <f t="shared" si="0"/>
        <v>30691481.092199996</v>
      </c>
      <c r="G22" s="22">
        <f t="shared" si="1"/>
        <v>0.75776135018846691</v>
      </c>
      <c r="H22" s="29">
        <f>D22/'GRP Data'!$C$23</f>
        <v>1.0097923329305513E-2</v>
      </c>
      <c r="I22" s="29">
        <f>E22/'GRP Data'!$I$23</f>
        <v>1.0165949741630383E-2</v>
      </c>
      <c r="J22" s="30">
        <f t="shared" si="2"/>
        <v>6.8026412324869237E-3</v>
      </c>
      <c r="K22" s="21" t="str">
        <f t="shared" si="3"/>
        <v>Stable share</v>
      </c>
    </row>
    <row r="23" spans="2:11" ht="15" customHeight="1" x14ac:dyDescent="0.25">
      <c r="B23" s="31">
        <f>IF('GRP Data'!A15="","",'GRP Data'!A15)</f>
        <v>56</v>
      </c>
      <c r="C23" s="31" t="str">
        <f>'GRP Data'!B15</f>
        <v>Administrative and Support and Waste Management and Remediation Services</v>
      </c>
      <c r="D23" s="32">
        <f>'GRP Data'!C15</f>
        <v>84393858.977200001</v>
      </c>
      <c r="E23" s="32">
        <f>'GRP Data'!I15</f>
        <v>150317190.56299999</v>
      </c>
      <c r="F23" s="32">
        <f t="shared" si="0"/>
        <v>65923331.585799992</v>
      </c>
      <c r="G23" s="25">
        <f t="shared" si="1"/>
        <v>0.78113896419418338</v>
      </c>
      <c r="H23" s="33">
        <f>D23/'GRP Data'!$C$23</f>
        <v>2.1040570829523625E-2</v>
      </c>
      <c r="I23" s="33">
        <f>E23/'GRP Data'!$I$23</f>
        <v>2.1464031690619507E-2</v>
      </c>
      <c r="J23" s="34">
        <f t="shared" si="2"/>
        <v>4.234608610958826E-2</v>
      </c>
      <c r="K23" s="24" t="str">
        <f t="shared" si="3"/>
        <v>Stable share</v>
      </c>
    </row>
    <row r="24" spans="2:11" ht="15" customHeight="1" x14ac:dyDescent="0.25">
      <c r="B24" s="27">
        <f>IF('GRP Data'!A16="","",'GRP Data'!A16)</f>
        <v>61</v>
      </c>
      <c r="C24" s="27" t="str">
        <f>'GRP Data'!B16</f>
        <v>Educational Services</v>
      </c>
      <c r="D24" s="28">
        <f>'GRP Data'!C16</f>
        <v>24277837.483100001</v>
      </c>
      <c r="E24" s="28">
        <f>'GRP Data'!I16</f>
        <v>33223161.203699999</v>
      </c>
      <c r="F24" s="28">
        <f t="shared" si="0"/>
        <v>8945323.7205999978</v>
      </c>
      <c r="G24" s="22">
        <f t="shared" si="1"/>
        <v>0.36845636382675806</v>
      </c>
      <c r="H24" s="29">
        <f>D24/'GRP Data'!$C$23</f>
        <v>6.0528048526473123E-3</v>
      </c>
      <c r="I24" s="29">
        <f>E24/'GRP Data'!$I$23</f>
        <v>4.7439882442447999E-3</v>
      </c>
      <c r="J24" s="30">
        <f t="shared" si="2"/>
        <v>-0.13088166084025124</v>
      </c>
      <c r="K24" s="21" t="str">
        <f t="shared" si="3"/>
        <v>Stable share</v>
      </c>
    </row>
    <row r="25" spans="2:11" ht="15" customHeight="1" x14ac:dyDescent="0.25">
      <c r="B25" s="31">
        <f>IF('GRP Data'!A17="","",'GRP Data'!A17)</f>
        <v>62</v>
      </c>
      <c r="C25" s="31" t="str">
        <f>'GRP Data'!B17</f>
        <v>Health Care and Social Assistance</v>
      </c>
      <c r="D25" s="32">
        <f>'GRP Data'!C17</f>
        <v>147046663.31</v>
      </c>
      <c r="E25" s="32">
        <f>'GRP Data'!I17</f>
        <v>273879008.94700003</v>
      </c>
      <c r="F25" s="32">
        <f t="shared" si="0"/>
        <v>126832345.63700002</v>
      </c>
      <c r="G25" s="25">
        <f t="shared" si="1"/>
        <v>0.86253127260436591</v>
      </c>
      <c r="H25" s="33">
        <f>D25/'GRP Data'!$C$23</f>
        <v>3.666079229123808E-2</v>
      </c>
      <c r="I25" s="33">
        <f>E25/'GRP Data'!$I$23</f>
        <v>3.9107621060613773E-2</v>
      </c>
      <c r="J25" s="34">
        <f t="shared" si="2"/>
        <v>0.24468287693756932</v>
      </c>
      <c r="K25" s="24" t="str">
        <f t="shared" si="3"/>
        <v>Stable share</v>
      </c>
    </row>
    <row r="26" spans="2:11" ht="15" customHeight="1" x14ac:dyDescent="0.25">
      <c r="B26" s="27">
        <f>IF('GRP Data'!A18="","",'GRP Data'!A18)</f>
        <v>71</v>
      </c>
      <c r="C26" s="27" t="str">
        <f>'GRP Data'!B18</f>
        <v>Arts, Entertainment, and Recreation</v>
      </c>
      <c r="D26" s="28">
        <f>'GRP Data'!C18</f>
        <v>266842096.433</v>
      </c>
      <c r="E26" s="28">
        <f>'GRP Data'!I18</f>
        <v>384513070.88800001</v>
      </c>
      <c r="F26" s="28">
        <f t="shared" si="0"/>
        <v>117670974.45500001</v>
      </c>
      <c r="G26" s="22">
        <f t="shared" si="1"/>
        <v>0.44097605298399911</v>
      </c>
      <c r="H26" s="29">
        <f>D26/'GRP Data'!$C$23</f>
        <v>6.6527471291648557E-2</v>
      </c>
      <c r="I26" s="29">
        <f>E26/'GRP Data'!$I$23</f>
        <v>5.4905235443037555E-2</v>
      </c>
      <c r="J26" s="30">
        <f t="shared" si="2"/>
        <v>-1.1622235848611002</v>
      </c>
      <c r="K26" s="21" t="str">
        <f t="shared" si="3"/>
        <v>Losing share</v>
      </c>
    </row>
    <row r="27" spans="2:11" ht="15" customHeight="1" x14ac:dyDescent="0.25">
      <c r="B27" s="31">
        <f>IF('GRP Data'!A19="","",'GRP Data'!A19)</f>
        <v>72</v>
      </c>
      <c r="C27" s="31" t="str">
        <f>'GRP Data'!B19</f>
        <v>Accommodation and Food Services</v>
      </c>
      <c r="D27" s="32">
        <f>'GRP Data'!C19</f>
        <v>483905446.40799999</v>
      </c>
      <c r="E27" s="32">
        <f>'GRP Data'!I19</f>
        <v>844932961.58200002</v>
      </c>
      <c r="F27" s="32">
        <f t="shared" si="0"/>
        <v>361027515.17400002</v>
      </c>
      <c r="G27" s="25">
        <f t="shared" si="1"/>
        <v>0.74607036943660132</v>
      </c>
      <c r="H27" s="33">
        <f>D27/'GRP Data'!$C$23</f>
        <v>0.12064440402814693</v>
      </c>
      <c r="I27" s="33">
        <f>E27/'GRP Data'!$I$23</f>
        <v>0.12064932690612082</v>
      </c>
      <c r="J27" s="34">
        <f t="shared" si="2"/>
        <v>4.9228779738924588E-4</v>
      </c>
      <c r="K27" s="24" t="str">
        <f t="shared" si="3"/>
        <v>Stable share</v>
      </c>
    </row>
    <row r="28" spans="2:11" ht="15" customHeight="1" x14ac:dyDescent="0.25">
      <c r="B28" s="27">
        <f>IF('GRP Data'!A20="","",'GRP Data'!A20)</f>
        <v>81</v>
      </c>
      <c r="C28" s="27" t="str">
        <f>'GRP Data'!B20</f>
        <v>Other Services (except Public Administration)</v>
      </c>
      <c r="D28" s="28">
        <f>'GRP Data'!C20</f>
        <v>80565045.9586</v>
      </c>
      <c r="E28" s="28">
        <f>'GRP Data'!I20</f>
        <v>120652048.36399999</v>
      </c>
      <c r="F28" s="28">
        <f t="shared" si="0"/>
        <v>40087002.405399993</v>
      </c>
      <c r="G28" s="22">
        <f t="shared" si="1"/>
        <v>0.4975731339618365</v>
      </c>
      <c r="H28" s="29">
        <f>D28/'GRP Data'!$C$23</f>
        <v>2.0085994128242315E-2</v>
      </c>
      <c r="I28" s="29">
        <f>E28/'GRP Data'!$I$23</f>
        <v>1.7228098662060102E-2</v>
      </c>
      <c r="J28" s="30">
        <f t="shared" si="2"/>
        <v>-0.28578954661822137</v>
      </c>
      <c r="K28" s="21" t="str">
        <f t="shared" si="3"/>
        <v>Stable share</v>
      </c>
    </row>
    <row r="29" spans="2:11" ht="15" customHeight="1" x14ac:dyDescent="0.25">
      <c r="B29" s="31">
        <f>IF('GRP Data'!A21="","",'GRP Data'!A21)</f>
        <v>90</v>
      </c>
      <c r="C29" s="31" t="str">
        <f>'GRP Data'!B21</f>
        <v>Government</v>
      </c>
      <c r="D29" s="32">
        <f>'GRP Data'!C21</f>
        <v>212015326.78</v>
      </c>
      <c r="E29" s="32">
        <f>'GRP Data'!I21</f>
        <v>352780225.02600002</v>
      </c>
      <c r="F29" s="32">
        <f t="shared" si="0"/>
        <v>140764898.24600002</v>
      </c>
      <c r="G29" s="25">
        <f t="shared" si="1"/>
        <v>0.66393736898118805</v>
      </c>
      <c r="H29" s="33">
        <f>D29/'GRP Data'!$C$23</f>
        <v>5.2858389865361621E-2</v>
      </c>
      <c r="I29" s="33">
        <f>E29/'GRP Data'!$I$23</f>
        <v>5.0374051706404008E-2</v>
      </c>
      <c r="J29" s="34">
        <f t="shared" si="2"/>
        <v>-0.24843381589576136</v>
      </c>
      <c r="K29" s="24" t="str">
        <f t="shared" si="3"/>
        <v>Stable share</v>
      </c>
    </row>
    <row r="30" spans="2:11" ht="15" customHeight="1" x14ac:dyDescent="0.25">
      <c r="B30" s="35" t="str">
        <f>IF('GRP Data'!A22="","",'GRP Data'!A22)</f>
        <v/>
      </c>
      <c r="C30" s="35" t="str">
        <f>'GRP Data'!B22</f>
        <v>Other Vectors</v>
      </c>
      <c r="D30" s="36">
        <f>'GRP Data'!C22</f>
        <v>765295215.72899997</v>
      </c>
      <c r="E30" s="36">
        <f>'GRP Data'!I22</f>
        <v>1375584279.9200001</v>
      </c>
      <c r="F30" s="36">
        <f t="shared" si="0"/>
        <v>610289064.1910001</v>
      </c>
      <c r="G30" s="37">
        <f t="shared" si="1"/>
        <v>0.79745574210816783</v>
      </c>
      <c r="H30" s="38">
        <f>D30/'GRP Data'!$C$23</f>
        <v>0.19079881388516429</v>
      </c>
      <c r="I30" s="38">
        <f>E30/'GRP Data'!$I$23</f>
        <v>0.19642187607907907</v>
      </c>
      <c r="J30" s="39">
        <f t="shared" si="2"/>
        <v>0.56230621939147851</v>
      </c>
      <c r="K30" s="40" t="str">
        <f t="shared" si="3"/>
        <v>Gaining share</v>
      </c>
    </row>
    <row r="31" spans="2:11" ht="15" customHeight="1" x14ac:dyDescent="0.25">
      <c r="B31" s="41"/>
      <c r="C31" s="41" t="s">
        <v>45</v>
      </c>
      <c r="D31" s="42">
        <f>SUM(D10:D30)</f>
        <v>4011006149.0718002</v>
      </c>
      <c r="E31" s="42">
        <f>SUM(E10:E30)</f>
        <v>7003213223.3896008</v>
      </c>
      <c r="F31" s="42">
        <f t="shared" si="0"/>
        <v>2992207074.3178005</v>
      </c>
      <c r="G31" s="43">
        <f t="shared" si="1"/>
        <v>0.74599912418739045</v>
      </c>
      <c r="H31" s="44">
        <f>SUM(H10:H30)</f>
        <v>1</v>
      </c>
      <c r="I31" s="44">
        <f>SUM(I10:I30)</f>
        <v>1</v>
      </c>
      <c r="J31" s="41"/>
      <c r="K31" s="41"/>
    </row>
    <row r="33" spans="2:10" ht="19.5" customHeight="1" x14ac:dyDescent="0.25">
      <c r="B33" s="14" t="s">
        <v>46</v>
      </c>
      <c r="C33" s="14"/>
      <c r="D33" s="14"/>
      <c r="E33" s="14"/>
      <c r="F33" s="14"/>
      <c r="G33" s="14"/>
      <c r="H33" s="14"/>
      <c r="I33" s="14"/>
      <c r="J33" s="14"/>
    </row>
    <row r="35" spans="2:10" ht="45.75" customHeight="1" x14ac:dyDescent="0.25">
      <c r="B35" s="13" t="s">
        <v>47</v>
      </c>
      <c r="C35" s="13"/>
      <c r="D35" s="13"/>
      <c r="E35" s="13"/>
      <c r="F35" s="13"/>
      <c r="G35" s="13"/>
      <c r="H35" s="13"/>
      <c r="I35" s="13"/>
      <c r="J35" s="13"/>
    </row>
    <row r="36" spans="2:10" ht="6" customHeight="1" x14ac:dyDescent="0.25">
      <c r="B36" s="13"/>
      <c r="C36" s="13"/>
      <c r="D36" s="13"/>
      <c r="E36" s="13"/>
      <c r="F36" s="13"/>
      <c r="G36" s="13"/>
      <c r="H36" s="13"/>
      <c r="I36" s="13"/>
      <c r="J36" s="13"/>
    </row>
    <row r="37" spans="2:10" ht="45.75" customHeight="1" x14ac:dyDescent="0.25">
      <c r="B37" s="13" t="s">
        <v>48</v>
      </c>
      <c r="C37" s="13"/>
      <c r="D37" s="13"/>
      <c r="E37" s="13"/>
      <c r="F37" s="13"/>
      <c r="G37" s="13"/>
      <c r="H37" s="13"/>
      <c r="I37" s="13"/>
      <c r="J37" s="13"/>
    </row>
    <row r="38" spans="2:10" ht="6" customHeight="1" x14ac:dyDescent="0.25">
      <c r="B38" s="13"/>
      <c r="C38" s="13"/>
      <c r="D38" s="13"/>
      <c r="E38" s="13"/>
      <c r="F38" s="13"/>
      <c r="G38" s="13"/>
      <c r="H38" s="13"/>
      <c r="I38" s="13"/>
      <c r="J38" s="13"/>
    </row>
    <row r="39" spans="2:10" ht="45.75" customHeight="1" x14ac:dyDescent="0.25">
      <c r="B39" s="13" t="s">
        <v>49</v>
      </c>
      <c r="C39" s="13"/>
      <c r="D39" s="13"/>
      <c r="E39" s="13"/>
      <c r="F39" s="13"/>
      <c r="G39" s="13"/>
      <c r="H39" s="13"/>
      <c r="I39" s="13"/>
      <c r="J39" s="13"/>
    </row>
    <row r="40" spans="2:10" ht="6" customHeight="1" x14ac:dyDescent="0.25">
      <c r="B40" s="13"/>
      <c r="C40" s="13"/>
      <c r="D40" s="13"/>
      <c r="E40" s="13"/>
      <c r="F40" s="13"/>
      <c r="G40" s="13"/>
      <c r="H40" s="13"/>
      <c r="I40" s="13"/>
      <c r="J40" s="13"/>
    </row>
    <row r="41" spans="2:10" ht="45.75" customHeight="1" x14ac:dyDescent="0.25">
      <c r="B41" s="13" t="s">
        <v>50</v>
      </c>
      <c r="C41" s="13"/>
      <c r="D41" s="13"/>
      <c r="E41" s="13"/>
      <c r="F41" s="13"/>
      <c r="G41" s="13"/>
      <c r="H41" s="13"/>
      <c r="I41" s="13"/>
      <c r="J41" s="13"/>
    </row>
    <row r="42" spans="2:10" ht="6" customHeight="1" x14ac:dyDescent="0.25">
      <c r="B42" s="13"/>
      <c r="C42" s="13"/>
      <c r="D42" s="13"/>
      <c r="E42" s="13"/>
      <c r="F42" s="13"/>
      <c r="G42" s="13"/>
      <c r="H42" s="13"/>
      <c r="I42" s="13"/>
      <c r="J42" s="13"/>
    </row>
    <row r="43" spans="2:10" ht="45.75" customHeight="1" x14ac:dyDescent="0.25">
      <c r="B43" s="13" t="s">
        <v>51</v>
      </c>
      <c r="C43" s="13"/>
      <c r="D43" s="13"/>
      <c r="E43" s="13"/>
      <c r="F43" s="13"/>
      <c r="G43" s="13"/>
      <c r="H43" s="13"/>
      <c r="I43" s="13"/>
      <c r="J43" s="13"/>
    </row>
    <row r="45" spans="2:10" ht="27.75" customHeight="1" x14ac:dyDescent="0.25">
      <c r="B45" s="12" t="s">
        <v>52</v>
      </c>
      <c r="C45" s="12"/>
      <c r="D45" s="12"/>
      <c r="E45" s="12"/>
      <c r="F45" s="12"/>
      <c r="G45" s="12"/>
      <c r="H45" s="12"/>
      <c r="I45" s="12"/>
      <c r="J45" s="12"/>
    </row>
    <row r="46" spans="2:10" ht="27.75" customHeight="1" x14ac:dyDescent="0.25">
      <c r="B46" s="12" t="s">
        <v>53</v>
      </c>
      <c r="C46" s="12"/>
      <c r="D46" s="12"/>
      <c r="E46" s="12"/>
      <c r="F46" s="12"/>
      <c r="G46" s="12"/>
      <c r="H46" s="12"/>
      <c r="I46" s="12"/>
      <c r="J46" s="12"/>
    </row>
  </sheetData>
  <mergeCells count="24">
    <mergeCell ref="B43:J43"/>
    <mergeCell ref="B45:J45"/>
    <mergeCell ref="B46:J46"/>
    <mergeCell ref="B38:J38"/>
    <mergeCell ref="B39:J39"/>
    <mergeCell ref="B40:J40"/>
    <mergeCell ref="B41:J41"/>
    <mergeCell ref="B42:J42"/>
    <mergeCell ref="B8:J8"/>
    <mergeCell ref="B33:J33"/>
    <mergeCell ref="B35:J35"/>
    <mergeCell ref="B36:J36"/>
    <mergeCell ref="B37:J37"/>
    <mergeCell ref="B6:C6"/>
    <mergeCell ref="D6:E6"/>
    <mergeCell ref="F6:G6"/>
    <mergeCell ref="H6:I6"/>
    <mergeCell ref="J6:K6"/>
    <mergeCell ref="B4:J4"/>
    <mergeCell ref="B5:C5"/>
    <mergeCell ref="D5:E5"/>
    <mergeCell ref="F5:G5"/>
    <mergeCell ref="H5:I5"/>
    <mergeCell ref="J5:K5"/>
  </mergeCells>
  <conditionalFormatting sqref="G10:G30">
    <cfRule type="colorScale" priority="2">
      <colorScale>
        <cfvo type="min"/>
        <cfvo type="percentile" val="50"/>
        <cfvo type="max"/>
        <color rgb="FFF8696B"/>
        <color rgb="FFFFFFFF"/>
        <color rgb="FF63BE7B"/>
      </colorScale>
    </cfRule>
  </conditionalFormatting>
  <conditionalFormatting sqref="J10:J30">
    <cfRule type="colorScale" priority="3">
      <colorScale>
        <cfvo type="min"/>
        <cfvo type="num" val="0"/>
        <cfvo type="max"/>
        <color rgb="FFF8696B"/>
        <color rgb="FFFFFFFF"/>
        <color rgb="FF63BE7B"/>
      </colorScale>
    </cfRule>
  </conditionalFormatting>
  <conditionalFormatting sqref="K10:K30">
    <cfRule type="cellIs" dxfId="9" priority="4" operator="equal">
      <formula>"Gaining share"</formula>
    </cfRule>
    <cfRule type="cellIs" dxfId="8" priority="5" operator="equal">
      <formula>"Losing share"</formula>
    </cfRule>
  </conditionalFormatting>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50"/>
  <sheetViews>
    <sheetView showGridLines="0" zoomScaleNormal="100" workbookViewId="0">
      <pane xSplit="2" ySplit="10" topLeftCell="C11" activePane="bottomRight" state="frozen"/>
      <selection pane="topRight" activeCell="C1" sqref="C1"/>
      <selection pane="bottomLeft" activeCell="A11" sqref="A11"/>
      <selection pane="bottomRight"/>
    </sheetView>
  </sheetViews>
  <sheetFormatPr defaultColWidth="8.7109375" defaultRowHeight="15" x14ac:dyDescent="0.25"/>
  <cols>
    <col min="1" max="1" width="3" customWidth="1"/>
    <col min="2" max="2" width="46" customWidth="1"/>
    <col min="3" max="4" width="15" customWidth="1"/>
    <col min="5" max="5" width="14" customWidth="1"/>
    <col min="6" max="8" width="12" customWidth="1"/>
    <col min="9" max="9" width="18" customWidth="1"/>
  </cols>
  <sheetData>
    <row r="2" spans="2:9" ht="19.5" customHeight="1" x14ac:dyDescent="0.3">
      <c r="B2" s="15" t="s">
        <v>54</v>
      </c>
    </row>
    <row r="3" spans="2:9" ht="15" customHeight="1" x14ac:dyDescent="0.25">
      <c r="B3" s="16" t="s">
        <v>55</v>
      </c>
    </row>
    <row r="4" spans="2:9" ht="19.5" customHeight="1" x14ac:dyDescent="0.25">
      <c r="B4" s="14" t="s">
        <v>28</v>
      </c>
      <c r="C4" s="14"/>
      <c r="D4" s="14"/>
      <c r="E4" s="14"/>
      <c r="F4" s="14"/>
      <c r="G4" s="14"/>
      <c r="H4" s="14"/>
      <c r="I4" s="14"/>
    </row>
    <row r="5" spans="2:9" ht="23.25" customHeight="1" x14ac:dyDescent="0.25">
      <c r="B5" s="11" t="s">
        <v>56</v>
      </c>
      <c r="C5" s="11"/>
      <c r="D5" s="11" t="s">
        <v>57</v>
      </c>
      <c r="E5" s="11"/>
      <c r="F5" s="11" t="s">
        <v>58</v>
      </c>
      <c r="G5" s="11"/>
      <c r="H5" s="11" t="s">
        <v>59</v>
      </c>
      <c r="I5" s="11"/>
    </row>
    <row r="6" spans="2:9" ht="31.5" customHeight="1" x14ac:dyDescent="0.35">
      <c r="B6" s="7">
        <f>AVERAGE('Wage Data'!C2:C24)</f>
        <v>47008.498952278263</v>
      </c>
      <c r="C6" s="7"/>
      <c r="D6" s="7">
        <f>AVERAGE('Wage Data'!I2:I24)</f>
        <v>63104.638122573917</v>
      </c>
      <c r="E6" s="7"/>
      <c r="F6" s="6">
        <f>D6/B6-1</f>
        <v>0.34240912875427076</v>
      </c>
      <c r="G6" s="6"/>
      <c r="H6" s="5" t="str">
        <f>C11</f>
        <v>Legal Occupations</v>
      </c>
      <c r="I6" s="5"/>
    </row>
    <row r="9" spans="2:9" ht="19.5" customHeight="1" x14ac:dyDescent="0.25">
      <c r="B9" s="14" t="s">
        <v>60</v>
      </c>
      <c r="C9" s="14"/>
      <c r="D9" s="14"/>
      <c r="E9" s="14"/>
      <c r="F9" s="14"/>
      <c r="G9" s="14"/>
      <c r="H9" s="14"/>
      <c r="I9" s="14"/>
    </row>
    <row r="10" spans="2:9" ht="15" customHeight="1" x14ac:dyDescent="0.25">
      <c r="B10" s="20" t="s">
        <v>61</v>
      </c>
      <c r="C10" s="20" t="s">
        <v>62</v>
      </c>
      <c r="D10" s="20" t="s">
        <v>63</v>
      </c>
      <c r="E10" s="20" t="s">
        <v>64</v>
      </c>
      <c r="F10" s="20" t="s">
        <v>39</v>
      </c>
      <c r="G10" s="20" t="s">
        <v>40</v>
      </c>
      <c r="H10" s="20" t="s">
        <v>65</v>
      </c>
      <c r="I10" s="20" t="s">
        <v>66</v>
      </c>
    </row>
    <row r="11" spans="2:9" ht="15" customHeight="1" x14ac:dyDescent="0.25">
      <c r="B11" s="24" t="str">
        <f>'Wage Data'!A8</f>
        <v>23-0000</v>
      </c>
      <c r="C11" s="31" t="str">
        <f>'Wage Data'!B8</f>
        <v>Legal Occupations</v>
      </c>
      <c r="D11" s="32">
        <f>'Wage Data'!C8</f>
        <v>66248.885894499996</v>
      </c>
      <c r="E11" s="32">
        <f>'Wage Data'!I8</f>
        <v>101255.773252</v>
      </c>
      <c r="F11" s="32">
        <f t="shared" ref="F11:F33" si="0">E11-D11</f>
        <v>35006.887357500003</v>
      </c>
      <c r="G11" s="25">
        <f t="shared" ref="G11:G33" si="1">(E11-D11)/D11</f>
        <v>0.5284147330907234</v>
      </c>
      <c r="H11" s="25">
        <f t="shared" ref="H11:H33" si="2">(E11/D11)^(1/6)-1</f>
        <v>7.3264758605599445E-2</v>
      </c>
      <c r="I11" s="24" t="str">
        <f>IF(G11&gt;AVERAGE(G11:G33),"Above avg growth","Below avg growth")</f>
        <v>Above avg growth</v>
      </c>
    </row>
    <row r="12" spans="2:9" ht="15" customHeight="1" x14ac:dyDescent="0.25">
      <c r="B12" s="21" t="str">
        <f>'Wage Data'!A9</f>
        <v>25-0000</v>
      </c>
      <c r="C12" s="27" t="str">
        <f>'Wage Data'!B9</f>
        <v>Educational Instruction and Library Occupations</v>
      </c>
      <c r="D12" s="28">
        <f>'Wage Data'!C9</f>
        <v>41645.732570300002</v>
      </c>
      <c r="E12" s="28">
        <f>'Wage Data'!I9</f>
        <v>62038.422203599999</v>
      </c>
      <c r="F12" s="28">
        <f t="shared" si="0"/>
        <v>20392.689633299997</v>
      </c>
      <c r="G12" s="22">
        <f t="shared" si="1"/>
        <v>0.48967057066113928</v>
      </c>
      <c r="H12" s="22">
        <f t="shared" si="2"/>
        <v>6.8681700932013534E-2</v>
      </c>
      <c r="I12" s="21" t="str">
        <f>IF(G12&gt;AVERAGE(G11:G33),"Above avg growth","Below avg growth")</f>
        <v>Above avg growth</v>
      </c>
    </row>
    <row r="13" spans="2:9" ht="15" customHeight="1" x14ac:dyDescent="0.25">
      <c r="B13" s="24" t="str">
        <f>'Wage Data'!A19</f>
        <v>45-0000</v>
      </c>
      <c r="C13" s="31" t="str">
        <f>'Wage Data'!B19</f>
        <v>Farming, Fishing, and Forestry Occupations</v>
      </c>
      <c r="D13" s="32">
        <f>'Wage Data'!C19</f>
        <v>26797.0595373</v>
      </c>
      <c r="E13" s="32">
        <f>'Wage Data'!I19</f>
        <v>39245.553568399999</v>
      </c>
      <c r="F13" s="32">
        <f t="shared" si="0"/>
        <v>12448.494031099999</v>
      </c>
      <c r="G13" s="25">
        <f t="shared" si="1"/>
        <v>0.46454701545788618</v>
      </c>
      <c r="H13" s="25">
        <f t="shared" si="2"/>
        <v>6.565645438438561E-2</v>
      </c>
      <c r="I13" s="24" t="str">
        <f>IF(G13&gt;AVERAGE(G11:G33),"Above avg growth","Below avg growth")</f>
        <v>Above avg growth</v>
      </c>
    </row>
    <row r="14" spans="2:9" ht="15" customHeight="1" x14ac:dyDescent="0.25">
      <c r="B14" s="21" t="str">
        <f>'Wage Data'!A2</f>
        <v>11-0000</v>
      </c>
      <c r="C14" s="27" t="str">
        <f>'Wage Data'!B2</f>
        <v>Management Occupations</v>
      </c>
      <c r="D14" s="28">
        <f>'Wage Data'!C2</f>
        <v>69520.160302499993</v>
      </c>
      <c r="E14" s="28">
        <f>'Wage Data'!I2</f>
        <v>100949.833957</v>
      </c>
      <c r="F14" s="28">
        <f t="shared" si="0"/>
        <v>31429.673654500002</v>
      </c>
      <c r="G14" s="22">
        <f t="shared" si="1"/>
        <v>0.45209437834638838</v>
      </c>
      <c r="H14" s="22">
        <f t="shared" si="2"/>
        <v>6.4140912657401072E-2</v>
      </c>
      <c r="I14" s="21" t="str">
        <f>IF(G14&gt;AVERAGE(G11:G33),"Above avg growth","Below avg growth")</f>
        <v>Above avg growth</v>
      </c>
    </row>
    <row r="15" spans="2:9" ht="15" customHeight="1" x14ac:dyDescent="0.25">
      <c r="B15" s="24" t="str">
        <f>'Wage Data'!A22</f>
        <v>51-0000</v>
      </c>
      <c r="C15" s="31" t="str">
        <f>'Wage Data'!B22</f>
        <v>Production Occupations</v>
      </c>
      <c r="D15" s="32">
        <f>'Wage Data'!C22</f>
        <v>36108.080147200002</v>
      </c>
      <c r="E15" s="32">
        <f>'Wage Data'!I22</f>
        <v>52297.624293300003</v>
      </c>
      <c r="F15" s="32">
        <f t="shared" si="0"/>
        <v>16189.544146100001</v>
      </c>
      <c r="G15" s="25">
        <f t="shared" si="1"/>
        <v>0.44836347100429869</v>
      </c>
      <c r="H15" s="25">
        <f t="shared" si="2"/>
        <v>6.3684736138325482E-2</v>
      </c>
      <c r="I15" s="24" t="str">
        <f>IF(G15&gt;AVERAGE(G11:G33),"Above avg growth","Below avg growth")</f>
        <v>Above avg growth</v>
      </c>
    </row>
    <row r="16" spans="2:9" ht="15" customHeight="1" x14ac:dyDescent="0.25">
      <c r="B16" s="21" t="str">
        <f>'Wage Data'!A15</f>
        <v>37-0000</v>
      </c>
      <c r="C16" s="27" t="str">
        <f>'Wage Data'!B15</f>
        <v>Building and Grounds Cleaning and Maintenance Occupations</v>
      </c>
      <c r="D16" s="28">
        <f>'Wage Data'!C15</f>
        <v>30028.2347147</v>
      </c>
      <c r="E16" s="28">
        <f>'Wage Data'!I15</f>
        <v>42479.268872300003</v>
      </c>
      <c r="F16" s="28">
        <f t="shared" si="0"/>
        <v>12451.034157600003</v>
      </c>
      <c r="G16" s="22">
        <f t="shared" si="1"/>
        <v>0.41464422653872268</v>
      </c>
      <c r="H16" s="22">
        <f t="shared" si="2"/>
        <v>5.9516859801562738E-2</v>
      </c>
      <c r="I16" s="21" t="str">
        <f>IF(G16&gt;AVERAGE(G11:G33),"Above avg growth","Below avg growth")</f>
        <v>Above avg growth</v>
      </c>
    </row>
    <row r="17" spans="2:9" ht="15" customHeight="1" x14ac:dyDescent="0.25">
      <c r="B17" s="24" t="str">
        <f>'Wage Data'!A17</f>
        <v>41-0000</v>
      </c>
      <c r="C17" s="31" t="str">
        <f>'Wage Data'!B17</f>
        <v>Sales and Related Occupations</v>
      </c>
      <c r="D17" s="32">
        <f>'Wage Data'!C17</f>
        <v>30500.5362838</v>
      </c>
      <c r="E17" s="32">
        <f>'Wage Data'!I17</f>
        <v>42635.593990000001</v>
      </c>
      <c r="F17" s="32">
        <f t="shared" si="0"/>
        <v>12135.057706200001</v>
      </c>
      <c r="G17" s="25">
        <f t="shared" si="1"/>
        <v>0.39786374879727587</v>
      </c>
      <c r="H17" s="25">
        <f t="shared" si="2"/>
        <v>5.7411770448097643E-2</v>
      </c>
      <c r="I17" s="24" t="str">
        <f>IF(G17&gt;AVERAGE(G11:G33),"Above avg growth","Below avg growth")</f>
        <v>Above avg growth</v>
      </c>
    </row>
    <row r="18" spans="2:9" ht="15" customHeight="1" x14ac:dyDescent="0.25">
      <c r="B18" s="21" t="str">
        <f>'Wage Data'!A12</f>
        <v>31-0000</v>
      </c>
      <c r="C18" s="27" t="str">
        <f>'Wage Data'!B12</f>
        <v>Healthcare Support Occupations</v>
      </c>
      <c r="D18" s="28">
        <f>'Wage Data'!C12</f>
        <v>29593.028400899999</v>
      </c>
      <c r="E18" s="28">
        <f>'Wage Data'!I12</f>
        <v>40850.414016499999</v>
      </c>
      <c r="F18" s="28">
        <f t="shared" si="0"/>
        <v>11257.3856156</v>
      </c>
      <c r="G18" s="22">
        <f t="shared" si="1"/>
        <v>0.38040667765038993</v>
      </c>
      <c r="H18" s="22">
        <f t="shared" si="2"/>
        <v>5.5199334376379916E-2</v>
      </c>
      <c r="I18" s="21" t="str">
        <f>IF(G18&gt;AVERAGE(G11:G33),"Above avg growth","Below avg growth")</f>
        <v>Above avg growth</v>
      </c>
    </row>
    <row r="19" spans="2:9" ht="15" customHeight="1" x14ac:dyDescent="0.25">
      <c r="B19" s="24" t="str">
        <f>'Wage Data'!A16</f>
        <v>39-0000</v>
      </c>
      <c r="C19" s="31" t="str">
        <f>'Wage Data'!B16</f>
        <v>Personal Care and Service Occupations</v>
      </c>
      <c r="D19" s="32">
        <f>'Wage Data'!C16</f>
        <v>29236.7665743</v>
      </c>
      <c r="E19" s="32">
        <f>'Wage Data'!I16</f>
        <v>40172.280757400003</v>
      </c>
      <c r="F19" s="32">
        <f t="shared" si="0"/>
        <v>10935.514183100004</v>
      </c>
      <c r="G19" s="25">
        <f t="shared" si="1"/>
        <v>0.37403295454404489</v>
      </c>
      <c r="H19" s="25">
        <f t="shared" si="2"/>
        <v>5.4385742728083164E-2</v>
      </c>
      <c r="I19" s="24" t="str">
        <f>IF(G19&gt;AVERAGE(G11:G33),"Above avg growth","Below avg growth")</f>
        <v>Above avg growth</v>
      </c>
    </row>
    <row r="20" spans="2:9" ht="15" customHeight="1" x14ac:dyDescent="0.25">
      <c r="B20" s="21" t="str">
        <f>'Wage Data'!A14</f>
        <v>35-0000</v>
      </c>
      <c r="C20" s="27" t="str">
        <f>'Wage Data'!B14</f>
        <v>Food Preparation and Serving Related Occupations</v>
      </c>
      <c r="D20" s="28">
        <f>'Wage Data'!C14</f>
        <v>26038.0029627</v>
      </c>
      <c r="E20" s="28">
        <f>'Wage Data'!I14</f>
        <v>35420.098569599999</v>
      </c>
      <c r="F20" s="28">
        <f t="shared" si="0"/>
        <v>9382.0956068999985</v>
      </c>
      <c r="G20" s="22">
        <f t="shared" si="1"/>
        <v>0.36032316381329443</v>
      </c>
      <c r="H20" s="22">
        <f t="shared" si="2"/>
        <v>5.2625004519889274E-2</v>
      </c>
      <c r="I20" s="21" t="str">
        <f>IF(G20&gt;AVERAGE(G11:G33),"Above avg growth","Below avg growth")</f>
        <v>Above avg growth</v>
      </c>
    </row>
    <row r="21" spans="2:9" ht="15" customHeight="1" x14ac:dyDescent="0.25">
      <c r="B21" s="24" t="str">
        <f>'Wage Data'!A23</f>
        <v>53-0000</v>
      </c>
      <c r="C21" s="31" t="str">
        <f>'Wage Data'!B23</f>
        <v>Transportation and Material Moving Occupations</v>
      </c>
      <c r="D21" s="32">
        <f>'Wage Data'!C23</f>
        <v>37327.212163199998</v>
      </c>
      <c r="E21" s="32">
        <f>'Wage Data'!I23</f>
        <v>50735.507922500001</v>
      </c>
      <c r="F21" s="32">
        <f t="shared" si="0"/>
        <v>13408.295759300003</v>
      </c>
      <c r="G21" s="25">
        <f t="shared" si="1"/>
        <v>0.35920967525452974</v>
      </c>
      <c r="H21" s="25">
        <f t="shared" si="2"/>
        <v>5.2481351663029363E-2</v>
      </c>
      <c r="I21" s="24" t="str">
        <f>IF(G21&gt;AVERAGE(G11:G33),"Above avg growth","Below avg growth")</f>
        <v>Above avg growth</v>
      </c>
    </row>
    <row r="22" spans="2:9" ht="15" customHeight="1" x14ac:dyDescent="0.25">
      <c r="B22" s="21" t="str">
        <f>'Wage Data'!A6</f>
        <v>19-0000</v>
      </c>
      <c r="C22" s="27" t="str">
        <f>'Wage Data'!B6</f>
        <v>Life, Physical, and Social Science Occupations</v>
      </c>
      <c r="D22" s="28">
        <f>'Wage Data'!C6</f>
        <v>61531.2229257</v>
      </c>
      <c r="E22" s="28">
        <f>'Wage Data'!I6</f>
        <v>82741.746138500006</v>
      </c>
      <c r="F22" s="28">
        <f t="shared" si="0"/>
        <v>21210.523212800006</v>
      </c>
      <c r="G22" s="22">
        <f t="shared" si="1"/>
        <v>0.34471154975112511</v>
      </c>
      <c r="H22" s="22">
        <f t="shared" si="2"/>
        <v>5.0601917640182181E-2</v>
      </c>
      <c r="I22" s="21" t="str">
        <f>IF(G22&gt;AVERAGE(G11:G33),"Above avg growth","Below avg growth")</f>
        <v>Below avg growth</v>
      </c>
    </row>
    <row r="23" spans="2:9" ht="15" customHeight="1" x14ac:dyDescent="0.25">
      <c r="B23" s="24" t="str">
        <f>'Wage Data'!A11</f>
        <v>29-0000</v>
      </c>
      <c r="C23" s="31" t="str">
        <f>'Wage Data'!B11</f>
        <v>Healthcare Practitioners and Technical Occupations</v>
      </c>
      <c r="D23" s="32">
        <f>'Wage Data'!C11</f>
        <v>71581.464662500002</v>
      </c>
      <c r="E23" s="32">
        <f>'Wage Data'!I11</f>
        <v>95343.308607200001</v>
      </c>
      <c r="F23" s="32">
        <f t="shared" si="0"/>
        <v>23761.843944699998</v>
      </c>
      <c r="G23" s="25">
        <f t="shared" si="1"/>
        <v>0.33195526323378405</v>
      </c>
      <c r="H23" s="25">
        <f t="shared" si="2"/>
        <v>4.8934266283778616E-2</v>
      </c>
      <c r="I23" s="24" t="str">
        <f>IF(G23&gt;AVERAGE(G11:G33),"Above avg growth","Below avg growth")</f>
        <v>Below avg growth</v>
      </c>
    </row>
    <row r="24" spans="2:9" ht="15" customHeight="1" x14ac:dyDescent="0.25">
      <c r="B24" s="21" t="str">
        <f>'Wage Data'!A10</f>
        <v>27-0000</v>
      </c>
      <c r="C24" s="27" t="str">
        <f>'Wage Data'!B10</f>
        <v>Arts, Design, Entertainment, Sports, and Media Occupations</v>
      </c>
      <c r="D24" s="28">
        <f>'Wage Data'!C10</f>
        <v>42103.333995599998</v>
      </c>
      <c r="E24" s="28">
        <f>'Wage Data'!I10</f>
        <v>55993.436121799998</v>
      </c>
      <c r="F24" s="28">
        <f t="shared" si="0"/>
        <v>13890.102126199999</v>
      </c>
      <c r="G24" s="22">
        <f t="shared" si="1"/>
        <v>0.32990504095593909</v>
      </c>
      <c r="H24" s="22">
        <f t="shared" si="2"/>
        <v>4.866499685847514E-2</v>
      </c>
      <c r="I24" s="21" t="str">
        <f>IF(G24&gt;AVERAGE(G11:G33),"Above avg growth","Below avg growth")</f>
        <v>Below avg growth</v>
      </c>
    </row>
    <row r="25" spans="2:9" ht="15" customHeight="1" x14ac:dyDescent="0.25">
      <c r="B25" s="24" t="str">
        <f>'Wage Data'!A18</f>
        <v>43-0000</v>
      </c>
      <c r="C25" s="31" t="str">
        <f>'Wage Data'!B18</f>
        <v>Office and Administrative Support Occupations</v>
      </c>
      <c r="D25" s="32">
        <f>'Wage Data'!C18</f>
        <v>36296.225424900003</v>
      </c>
      <c r="E25" s="32">
        <f>'Wage Data'!I18</f>
        <v>48156.524369300001</v>
      </c>
      <c r="F25" s="32">
        <f t="shared" si="0"/>
        <v>11860.298944399998</v>
      </c>
      <c r="G25" s="25">
        <f t="shared" si="1"/>
        <v>0.32676397629665299</v>
      </c>
      <c r="H25" s="25">
        <f t="shared" si="2"/>
        <v>4.8251788052783073E-2</v>
      </c>
      <c r="I25" s="24" t="str">
        <f>IF(G25&gt;AVERAGE(G11:G33),"Above avg growth","Below avg growth")</f>
        <v>Below avg growth</v>
      </c>
    </row>
    <row r="26" spans="2:9" ht="15" customHeight="1" x14ac:dyDescent="0.25">
      <c r="B26" s="21" t="str">
        <f>'Wage Data'!A4</f>
        <v>15-0000</v>
      </c>
      <c r="C26" s="27" t="str">
        <f>'Wage Data'!B4</f>
        <v>Computer and Mathematical Occupations</v>
      </c>
      <c r="D26" s="28">
        <f>'Wage Data'!C4</f>
        <v>80683.755730000004</v>
      </c>
      <c r="E26" s="28">
        <f>'Wage Data'!I4</f>
        <v>106741.540693</v>
      </c>
      <c r="F26" s="28">
        <f t="shared" si="0"/>
        <v>26057.784962999998</v>
      </c>
      <c r="G26" s="22">
        <f t="shared" si="1"/>
        <v>0.32296197328988663</v>
      </c>
      <c r="H26" s="22">
        <f t="shared" si="2"/>
        <v>4.7750540463164848E-2</v>
      </c>
      <c r="I26" s="21" t="str">
        <f>IF(G26&gt;AVERAGE(G11:G33),"Above avg growth","Below avg growth")</f>
        <v>Below avg growth</v>
      </c>
    </row>
    <row r="27" spans="2:9" ht="15" customHeight="1" x14ac:dyDescent="0.25">
      <c r="B27" s="24" t="str">
        <f>'Wage Data'!A13</f>
        <v>33-0000</v>
      </c>
      <c r="C27" s="31" t="str">
        <f>'Wage Data'!B13</f>
        <v>Protective Service Occupations</v>
      </c>
      <c r="D27" s="32">
        <f>'Wage Data'!C13</f>
        <v>40985.026177</v>
      </c>
      <c r="E27" s="32">
        <f>'Wage Data'!I13</f>
        <v>54046.743682699998</v>
      </c>
      <c r="F27" s="32">
        <f t="shared" si="0"/>
        <v>13061.717505699999</v>
      </c>
      <c r="G27" s="25">
        <f t="shared" si="1"/>
        <v>0.31869486795716578</v>
      </c>
      <c r="H27" s="25">
        <f t="shared" si="2"/>
        <v>4.7186543112434087E-2</v>
      </c>
      <c r="I27" s="24" t="str">
        <f>IF(G27&gt;AVERAGE(G11:G33),"Above avg growth","Below avg growth")</f>
        <v>Below avg growth</v>
      </c>
    </row>
    <row r="28" spans="2:9" ht="15" customHeight="1" x14ac:dyDescent="0.25">
      <c r="B28" s="21" t="str">
        <f>'Wage Data'!A5</f>
        <v>17-0000</v>
      </c>
      <c r="C28" s="27" t="str">
        <f>'Wage Data'!B5</f>
        <v>Architecture and Engineering Occupations</v>
      </c>
      <c r="D28" s="28">
        <f>'Wage Data'!C5</f>
        <v>80237.188932300007</v>
      </c>
      <c r="E28" s="28">
        <f>'Wage Data'!I5</f>
        <v>103559.907072</v>
      </c>
      <c r="F28" s="28">
        <f t="shared" si="0"/>
        <v>23322.718139699995</v>
      </c>
      <c r="G28" s="22">
        <f t="shared" si="1"/>
        <v>0.29067217396385231</v>
      </c>
      <c r="H28" s="22">
        <f t="shared" si="2"/>
        <v>4.3444428590527329E-2</v>
      </c>
      <c r="I28" s="21" t="str">
        <f>IF(G28&gt;AVERAGE(G11:G33),"Above avg growth","Below avg growth")</f>
        <v>Below avg growth</v>
      </c>
    </row>
    <row r="29" spans="2:9" ht="15" customHeight="1" x14ac:dyDescent="0.25">
      <c r="B29" s="24" t="str">
        <f>'Wage Data'!A21</f>
        <v>49-0000</v>
      </c>
      <c r="C29" s="31" t="str">
        <f>'Wage Data'!B21</f>
        <v>Installation, Maintenance, and Repair Occupations</v>
      </c>
      <c r="D29" s="32">
        <f>'Wage Data'!C21</f>
        <v>45505.6566399</v>
      </c>
      <c r="E29" s="32">
        <f>'Wage Data'!I21</f>
        <v>58151.785710999997</v>
      </c>
      <c r="F29" s="32">
        <f t="shared" si="0"/>
        <v>12646.129071099997</v>
      </c>
      <c r="G29" s="25">
        <f t="shared" si="1"/>
        <v>0.27790235335296082</v>
      </c>
      <c r="H29" s="25">
        <f t="shared" si="2"/>
        <v>4.1716664409511939E-2</v>
      </c>
      <c r="I29" s="24" t="str">
        <f>IF(G29&gt;AVERAGE(G11:G33),"Above avg growth","Below avg growth")</f>
        <v>Below avg growth</v>
      </c>
    </row>
    <row r="30" spans="2:9" ht="15" customHeight="1" x14ac:dyDescent="0.25">
      <c r="B30" s="21" t="str">
        <f>'Wage Data'!A20</f>
        <v>47-0000</v>
      </c>
      <c r="C30" s="27" t="str">
        <f>'Wage Data'!B20</f>
        <v>Construction and Extraction Occupations</v>
      </c>
      <c r="D30" s="28">
        <f>'Wage Data'!C20</f>
        <v>45122.636095299997</v>
      </c>
      <c r="E30" s="28">
        <f>'Wage Data'!I20</f>
        <v>55546.351118799997</v>
      </c>
      <c r="F30" s="28">
        <f t="shared" si="0"/>
        <v>10423.715023500001</v>
      </c>
      <c r="G30" s="22">
        <f t="shared" si="1"/>
        <v>0.23100855635927134</v>
      </c>
      <c r="H30" s="22">
        <f t="shared" si="2"/>
        <v>3.5245882690491781E-2</v>
      </c>
      <c r="I30" s="21" t="str">
        <f>IF(G30&gt;AVERAGE(G11:G33),"Above avg growth","Below avg growth")</f>
        <v>Below avg growth</v>
      </c>
    </row>
    <row r="31" spans="2:9" ht="15" customHeight="1" x14ac:dyDescent="0.25">
      <c r="B31" s="24" t="str">
        <f>'Wage Data'!A3</f>
        <v>13-0000</v>
      </c>
      <c r="C31" s="31" t="str">
        <f>'Wage Data'!B3</f>
        <v>Business and Financial Operations Occupations</v>
      </c>
      <c r="D31" s="32">
        <f>'Wage Data'!C3</f>
        <v>63406.575448299998</v>
      </c>
      <c r="E31" s="32">
        <f>'Wage Data'!I3</f>
        <v>77343.957197700001</v>
      </c>
      <c r="F31" s="32">
        <f t="shared" si="0"/>
        <v>13937.381749400003</v>
      </c>
      <c r="G31" s="25">
        <f t="shared" si="1"/>
        <v>0.21980972242798644</v>
      </c>
      <c r="H31" s="25">
        <f t="shared" si="2"/>
        <v>3.3670245340073901E-2</v>
      </c>
      <c r="I31" s="24" t="str">
        <f>IF(G31&gt;AVERAGE(G11:G33),"Above avg growth","Below avg growth")</f>
        <v>Below avg growth</v>
      </c>
    </row>
    <row r="32" spans="2:9" ht="15" customHeight="1" x14ac:dyDescent="0.25">
      <c r="B32" s="21" t="str">
        <f>'Wage Data'!A24</f>
        <v>55-0000</v>
      </c>
      <c r="C32" s="27" t="str">
        <f>'Wage Data'!B24</f>
        <v>Military-only occupations</v>
      </c>
      <c r="D32" s="28">
        <f>'Wage Data'!C24</f>
        <v>41373.493536000002</v>
      </c>
      <c r="E32" s="28">
        <f>'Wage Data'!I24</f>
        <v>48769.154416199999</v>
      </c>
      <c r="F32" s="28">
        <f t="shared" si="0"/>
        <v>7395.6608801999973</v>
      </c>
      <c r="G32" s="22">
        <f t="shared" si="1"/>
        <v>0.17875359917974698</v>
      </c>
      <c r="H32" s="22">
        <f t="shared" si="2"/>
        <v>2.7788700239075093E-2</v>
      </c>
      <c r="I32" s="21" t="str">
        <f>IF(G32&gt;AVERAGE(G11:G33),"Above avg growth","Below avg growth")</f>
        <v>Below avg growth</v>
      </c>
    </row>
    <row r="33" spans="2:9" ht="15" customHeight="1" x14ac:dyDescent="0.25">
      <c r="B33" s="24" t="str">
        <f>'Wage Data'!A7</f>
        <v>21-0000</v>
      </c>
      <c r="C33" s="31" t="str">
        <f>'Wage Data'!B7</f>
        <v>Community and Social Service Occupations</v>
      </c>
      <c r="D33" s="32">
        <f>'Wage Data'!C7</f>
        <v>49325.196783500003</v>
      </c>
      <c r="E33" s="32">
        <f>'Wage Data'!I7</f>
        <v>56931.850288399997</v>
      </c>
      <c r="F33" s="32">
        <f t="shared" si="0"/>
        <v>7606.653504899994</v>
      </c>
      <c r="G33" s="25">
        <f t="shared" si="1"/>
        <v>0.15421435698041716</v>
      </c>
      <c r="H33" s="25">
        <f t="shared" si="2"/>
        <v>2.4191291237327661E-2</v>
      </c>
      <c r="I33" s="24" t="str">
        <f>IF(G33&gt;AVERAGE(G11:G33),"Above avg growth","Below avg growth")</f>
        <v>Below avg growth</v>
      </c>
    </row>
    <row r="35" spans="2:9" ht="19.5" customHeight="1" x14ac:dyDescent="0.25">
      <c r="B35" s="14" t="s">
        <v>67</v>
      </c>
      <c r="C35" s="14"/>
      <c r="D35" s="14"/>
      <c r="E35" s="14"/>
      <c r="F35" s="14"/>
      <c r="G35" s="14"/>
      <c r="H35" s="14"/>
      <c r="I35" s="14"/>
    </row>
    <row r="37" spans="2:9" ht="45.75" customHeight="1" x14ac:dyDescent="0.25">
      <c r="B37" s="13" t="s">
        <v>68</v>
      </c>
      <c r="C37" s="13"/>
      <c r="D37" s="13"/>
      <c r="E37" s="13"/>
      <c r="F37" s="13"/>
      <c r="G37" s="13"/>
      <c r="H37" s="13"/>
      <c r="I37" s="13"/>
    </row>
    <row r="38" spans="2:9" ht="6" customHeight="1" x14ac:dyDescent="0.25">
      <c r="B38" s="13"/>
      <c r="C38" s="13"/>
      <c r="D38" s="13"/>
      <c r="E38" s="13"/>
      <c r="F38" s="13"/>
      <c r="G38" s="13"/>
      <c r="H38" s="13"/>
      <c r="I38" s="13"/>
    </row>
    <row r="39" spans="2:9" ht="45.75" customHeight="1" x14ac:dyDescent="0.25">
      <c r="B39" s="13" t="s">
        <v>69</v>
      </c>
      <c r="C39" s="13"/>
      <c r="D39" s="13"/>
      <c r="E39" s="13"/>
      <c r="F39" s="13"/>
      <c r="G39" s="13"/>
      <c r="H39" s="13"/>
      <c r="I39" s="13"/>
    </row>
    <row r="40" spans="2:9" ht="6" customHeight="1" x14ac:dyDescent="0.25">
      <c r="B40" s="13"/>
      <c r="C40" s="13"/>
      <c r="D40" s="13"/>
      <c r="E40" s="13"/>
      <c r="F40" s="13"/>
      <c r="G40" s="13"/>
      <c r="H40" s="13"/>
      <c r="I40" s="13"/>
    </row>
    <row r="41" spans="2:9" ht="45.75" customHeight="1" x14ac:dyDescent="0.25">
      <c r="B41" s="13" t="s">
        <v>70</v>
      </c>
      <c r="C41" s="13"/>
      <c r="D41" s="13"/>
      <c r="E41" s="13"/>
      <c r="F41" s="13"/>
      <c r="G41" s="13"/>
      <c r="H41" s="13"/>
      <c r="I41" s="13"/>
    </row>
    <row r="42" spans="2:9" ht="6" customHeight="1" x14ac:dyDescent="0.25">
      <c r="B42" s="13"/>
      <c r="C42" s="13"/>
      <c r="D42" s="13"/>
      <c r="E42" s="13"/>
      <c r="F42" s="13"/>
      <c r="G42" s="13"/>
      <c r="H42" s="13"/>
      <c r="I42" s="13"/>
    </row>
    <row r="43" spans="2:9" ht="45.75" customHeight="1" x14ac:dyDescent="0.25">
      <c r="B43" s="13" t="s">
        <v>71</v>
      </c>
      <c r="C43" s="13"/>
      <c r="D43" s="13"/>
      <c r="E43" s="13"/>
      <c r="F43" s="13"/>
      <c r="G43" s="13"/>
      <c r="H43" s="13"/>
      <c r="I43" s="13"/>
    </row>
    <row r="44" spans="2:9" ht="6" customHeight="1" x14ac:dyDescent="0.25">
      <c r="B44" s="13"/>
      <c r="C44" s="13"/>
      <c r="D44" s="13"/>
      <c r="E44" s="13"/>
      <c r="F44" s="13"/>
      <c r="G44" s="13"/>
      <c r="H44" s="13"/>
      <c r="I44" s="13"/>
    </row>
    <row r="45" spans="2:9" ht="45.75" customHeight="1" x14ac:dyDescent="0.25">
      <c r="B45" s="13" t="s">
        <v>72</v>
      </c>
      <c r="C45" s="13"/>
      <c r="D45" s="13"/>
      <c r="E45" s="13"/>
      <c r="F45" s="13"/>
      <c r="G45" s="13"/>
      <c r="H45" s="13"/>
      <c r="I45" s="13"/>
    </row>
    <row r="46" spans="2:9" ht="6" customHeight="1" x14ac:dyDescent="0.25">
      <c r="B46" s="13"/>
      <c r="C46" s="13"/>
      <c r="D46" s="13"/>
      <c r="E46" s="13"/>
      <c r="F46" s="13"/>
      <c r="G46" s="13"/>
      <c r="H46" s="13"/>
      <c r="I46" s="13"/>
    </row>
    <row r="47" spans="2:9" ht="45.75" customHeight="1" x14ac:dyDescent="0.25">
      <c r="B47" s="13" t="s">
        <v>73</v>
      </c>
      <c r="C47" s="13"/>
      <c r="D47" s="13"/>
      <c r="E47" s="13"/>
      <c r="F47" s="13"/>
      <c r="G47" s="13"/>
      <c r="H47" s="13"/>
      <c r="I47" s="13"/>
    </row>
    <row r="49" spans="2:9" ht="27.75" customHeight="1" x14ac:dyDescent="0.25">
      <c r="B49" s="12" t="s">
        <v>74</v>
      </c>
      <c r="C49" s="12"/>
      <c r="D49" s="12"/>
      <c r="E49" s="12"/>
      <c r="F49" s="12"/>
      <c r="G49" s="12"/>
      <c r="H49" s="12"/>
      <c r="I49" s="12"/>
    </row>
    <row r="50" spans="2:9" ht="27.75" customHeight="1" x14ac:dyDescent="0.25">
      <c r="B50" s="12" t="s">
        <v>75</v>
      </c>
      <c r="C50" s="12"/>
      <c r="D50" s="12"/>
      <c r="E50" s="12"/>
      <c r="F50" s="12"/>
      <c r="G50" s="12"/>
      <c r="H50" s="12"/>
      <c r="I50" s="12"/>
    </row>
  </sheetData>
  <mergeCells count="24">
    <mergeCell ref="B46:I46"/>
    <mergeCell ref="B47:I47"/>
    <mergeCell ref="B49:I49"/>
    <mergeCell ref="B50:I50"/>
    <mergeCell ref="B41:I41"/>
    <mergeCell ref="B42:I42"/>
    <mergeCell ref="B43:I43"/>
    <mergeCell ref="B44:I44"/>
    <mergeCell ref="B45:I45"/>
    <mergeCell ref="B35:I35"/>
    <mergeCell ref="B37:I37"/>
    <mergeCell ref="B38:I38"/>
    <mergeCell ref="B39:I39"/>
    <mergeCell ref="B40:I40"/>
    <mergeCell ref="B6:C6"/>
    <mergeCell ref="D6:E6"/>
    <mergeCell ref="F6:G6"/>
    <mergeCell ref="H6:I6"/>
    <mergeCell ref="B9:I9"/>
    <mergeCell ref="B4:I4"/>
    <mergeCell ref="B5:C5"/>
    <mergeCell ref="D5:E5"/>
    <mergeCell ref="F5:G5"/>
    <mergeCell ref="H5:I5"/>
  </mergeCells>
  <conditionalFormatting sqref="G11:G33">
    <cfRule type="colorScale" priority="2">
      <colorScale>
        <cfvo type="min"/>
        <cfvo type="percentile" val="50"/>
        <cfvo type="max"/>
        <color rgb="FFF8696B"/>
        <color rgb="FFFFFFFF"/>
        <color rgb="FF63BE7B"/>
      </colorScale>
    </cfRule>
  </conditionalFormatting>
  <conditionalFormatting sqref="I11:I33">
    <cfRule type="cellIs" dxfId="7" priority="3" operator="equal">
      <formula>"Above avg growth"</formula>
    </cfRule>
    <cfRule type="cellIs" dxfId="6" priority="4" operator="equal">
      <formula>"Below avg growth"</formula>
    </cfRule>
  </conditionalFormatting>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56"/>
  <sheetViews>
    <sheetView showGridLines="0" zoomScaleNormal="100" workbookViewId="0">
      <pane xSplit="2" ySplit="10" topLeftCell="C11" activePane="bottomRight" state="frozen"/>
      <selection pane="topRight" activeCell="C1" sqref="C1"/>
      <selection pane="bottomLeft" activeCell="A11" sqref="A11"/>
      <selection pane="bottomRight"/>
    </sheetView>
  </sheetViews>
  <sheetFormatPr defaultColWidth="8.7109375" defaultRowHeight="15" x14ac:dyDescent="0.25"/>
  <cols>
    <col min="1" max="1" width="3" customWidth="1"/>
    <col min="2" max="2" width="46" customWidth="1"/>
    <col min="3" max="4" width="13" customWidth="1"/>
    <col min="5" max="8" width="12" customWidth="1"/>
    <col min="9" max="9" width="18" customWidth="1"/>
  </cols>
  <sheetData>
    <row r="2" spans="2:9" ht="19.5" customHeight="1" x14ac:dyDescent="0.3">
      <c r="B2" s="15" t="s">
        <v>76</v>
      </c>
    </row>
    <row r="3" spans="2:9" ht="15" customHeight="1" x14ac:dyDescent="0.25">
      <c r="B3" s="16" t="s">
        <v>77</v>
      </c>
    </row>
    <row r="4" spans="2:9" ht="19.5" customHeight="1" x14ac:dyDescent="0.25">
      <c r="B4" s="14" t="s">
        <v>28</v>
      </c>
      <c r="C4" s="14"/>
      <c r="D4" s="14"/>
      <c r="E4" s="14"/>
      <c r="F4" s="14"/>
      <c r="G4" s="14"/>
      <c r="H4" s="14"/>
      <c r="I4" s="14"/>
    </row>
    <row r="5" spans="2:9" ht="15" customHeight="1" x14ac:dyDescent="0.25">
      <c r="B5" s="11" t="s">
        <v>78</v>
      </c>
      <c r="C5" s="11"/>
      <c r="D5" s="11" t="s">
        <v>79</v>
      </c>
      <c r="E5" s="11"/>
      <c r="F5" s="11" t="s">
        <v>31</v>
      </c>
      <c r="G5" s="11"/>
      <c r="H5" s="11" t="s">
        <v>80</v>
      </c>
      <c r="I5" s="11"/>
    </row>
    <row r="6" spans="2:9" ht="31.5" customHeight="1" x14ac:dyDescent="0.35">
      <c r="B6" s="4">
        <f>'Establishment Data'!C22</f>
        <v>3019.4718989396797</v>
      </c>
      <c r="C6" s="4"/>
      <c r="D6" s="4">
        <f>'Establishment Data'!I22</f>
        <v>3590.5</v>
      </c>
      <c r="E6" s="4"/>
      <c r="F6" s="6">
        <f>D6/B6-1</f>
        <v>0.18911522285100357</v>
      </c>
      <c r="G6" s="6"/>
      <c r="H6" s="6">
        <f>MEDIAN(H11:H30)</f>
        <v>2.5429536118211526E-2</v>
      </c>
      <c r="I6" s="6"/>
    </row>
    <row r="9" spans="2:9" ht="19.5" customHeight="1" x14ac:dyDescent="0.25">
      <c r="B9" s="14" t="s">
        <v>81</v>
      </c>
      <c r="C9" s="14"/>
      <c r="D9" s="14"/>
      <c r="E9" s="14"/>
      <c r="F9" s="14"/>
      <c r="G9" s="14"/>
      <c r="H9" s="14"/>
      <c r="I9" s="14"/>
    </row>
    <row r="10" spans="2:9" ht="26.25" customHeight="1" x14ac:dyDescent="0.25">
      <c r="B10" s="20" t="s">
        <v>35</v>
      </c>
      <c r="C10" s="20" t="s">
        <v>36</v>
      </c>
      <c r="D10" s="20" t="s">
        <v>82</v>
      </c>
      <c r="E10" s="20" t="s">
        <v>83</v>
      </c>
      <c r="F10" s="20" t="s">
        <v>84</v>
      </c>
      <c r="G10" s="20" t="s">
        <v>40</v>
      </c>
      <c r="H10" s="20" t="s">
        <v>65</v>
      </c>
      <c r="I10" s="20" t="s">
        <v>85</v>
      </c>
    </row>
    <row r="11" spans="2:9" ht="15" customHeight="1" x14ac:dyDescent="0.25">
      <c r="B11" s="24">
        <f>'Establishment Data'!A2</f>
        <v>11</v>
      </c>
      <c r="C11" s="31" t="str">
        <f>'Establishment Data'!B2</f>
        <v>Agriculture, Forestry, Fishing and Hunting</v>
      </c>
      <c r="D11" s="45">
        <f>'Establishment Data'!C2</f>
        <v>6.9999998049899999</v>
      </c>
      <c r="E11" s="45">
        <f>'Establishment Data'!I2</f>
        <v>14</v>
      </c>
      <c r="F11" s="46">
        <f t="shared" ref="F11:F30" si="0">E11-D11</f>
        <v>7.0000001950100001</v>
      </c>
      <c r="G11" s="25">
        <f t="shared" ref="G11:G30" si="1">(E11-D11)/D11</f>
        <v>1.0000000557171445</v>
      </c>
      <c r="H11" s="25">
        <f t="shared" ref="H11:H30" si="2">(E11/D11)^(1/6)-1</f>
        <v>0.1224620535210712</v>
      </c>
      <c r="I11" s="24" t="str">
        <f>IF(G11&gt;MEDIAN(G11:G30),"Above median growth","Below median growth")</f>
        <v>Above median growth</v>
      </c>
    </row>
    <row r="12" spans="2:9" ht="15" customHeight="1" x14ac:dyDescent="0.25">
      <c r="B12" s="21">
        <f>'Establishment Data'!A4</f>
        <v>22</v>
      </c>
      <c r="C12" s="27" t="str">
        <f>'Establishment Data'!B4</f>
        <v>Utilities</v>
      </c>
      <c r="D12" s="47">
        <f>'Establishment Data'!C4</f>
        <v>5</v>
      </c>
      <c r="E12" s="47">
        <f>'Establishment Data'!I4</f>
        <v>8.25</v>
      </c>
      <c r="F12" s="48">
        <f t="shared" si="0"/>
        <v>3.25</v>
      </c>
      <c r="G12" s="22">
        <f t="shared" si="1"/>
        <v>0.65</v>
      </c>
      <c r="H12" s="22">
        <f t="shared" si="2"/>
        <v>8.7044502523931255E-2</v>
      </c>
      <c r="I12" s="21" t="str">
        <f>IF(G12&gt;MEDIAN(G11:G30),"Above median growth","Below median growth")</f>
        <v>Above median growth</v>
      </c>
    </row>
    <row r="13" spans="2:9" ht="15" customHeight="1" x14ac:dyDescent="0.25">
      <c r="B13" s="24">
        <f>'Establishment Data'!A14</f>
        <v>55</v>
      </c>
      <c r="C13" s="31" t="str">
        <f>'Establishment Data'!B14</f>
        <v>Management of Companies and Enterprises</v>
      </c>
      <c r="D13" s="45">
        <f>'Establishment Data'!C14</f>
        <v>26.75</v>
      </c>
      <c r="E13" s="45">
        <f>'Establishment Data'!I14</f>
        <v>42.5</v>
      </c>
      <c r="F13" s="46">
        <f t="shared" si="0"/>
        <v>15.75</v>
      </c>
      <c r="G13" s="25">
        <f t="shared" si="1"/>
        <v>0.58878504672897192</v>
      </c>
      <c r="H13" s="25">
        <f t="shared" si="2"/>
        <v>8.0216625761314386E-2</v>
      </c>
      <c r="I13" s="24" t="str">
        <f>IF(G13&gt;MEDIAN(G11:G30),"Above median growth","Below median growth")</f>
        <v>Above median growth</v>
      </c>
    </row>
    <row r="14" spans="2:9" ht="15" customHeight="1" x14ac:dyDescent="0.25">
      <c r="B14" s="21">
        <f>'Establishment Data'!A10</f>
        <v>51</v>
      </c>
      <c r="C14" s="27" t="str">
        <f>'Establishment Data'!B10</f>
        <v>Information</v>
      </c>
      <c r="D14" s="47">
        <f>'Establishment Data'!C10</f>
        <v>78.721983675399997</v>
      </c>
      <c r="E14" s="47">
        <f>'Establishment Data'!I10</f>
        <v>124.75</v>
      </c>
      <c r="F14" s="48">
        <f t="shared" si="0"/>
        <v>46.028016324600003</v>
      </c>
      <c r="G14" s="22">
        <f t="shared" si="1"/>
        <v>0.58469075823077099</v>
      </c>
      <c r="H14" s="22">
        <f t="shared" si="2"/>
        <v>7.9752174965024958E-2</v>
      </c>
      <c r="I14" s="21" t="str">
        <f>IF(G14&gt;MEDIAN(G11:G30),"Above median growth","Below median growth")</f>
        <v>Above median growth</v>
      </c>
    </row>
    <row r="15" spans="2:9" ht="15" customHeight="1" x14ac:dyDescent="0.25">
      <c r="B15" s="24">
        <f>'Establishment Data'!A11</f>
        <v>52</v>
      </c>
      <c r="C15" s="31" t="str">
        <f>'Establishment Data'!B11</f>
        <v>Finance and Insurance</v>
      </c>
      <c r="D15" s="45">
        <f>'Establishment Data'!C11</f>
        <v>126.750000003</v>
      </c>
      <c r="E15" s="45">
        <f>'Establishment Data'!I11</f>
        <v>187.75</v>
      </c>
      <c r="F15" s="46">
        <f t="shared" si="0"/>
        <v>60.999999997000003</v>
      </c>
      <c r="G15" s="25">
        <f t="shared" si="1"/>
        <v>0.48126232738111413</v>
      </c>
      <c r="H15" s="25">
        <f t="shared" si="2"/>
        <v>6.7673990243772852E-2</v>
      </c>
      <c r="I15" s="24" t="str">
        <f>IF(G15&gt;MEDIAN(G11:G30),"Above median growth","Below median growth")</f>
        <v>Above median growth</v>
      </c>
    </row>
    <row r="16" spans="2:9" ht="15" customHeight="1" x14ac:dyDescent="0.25">
      <c r="B16" s="21">
        <f>'Establishment Data'!A13</f>
        <v>54</v>
      </c>
      <c r="C16" s="27" t="str">
        <f>'Establishment Data'!B13</f>
        <v>Professional, Scientific, and Technical Services</v>
      </c>
      <c r="D16" s="47">
        <f>'Establishment Data'!C13</f>
        <v>514.25</v>
      </c>
      <c r="E16" s="47">
        <f>'Establishment Data'!I13</f>
        <v>733.25</v>
      </c>
      <c r="F16" s="48">
        <f t="shared" si="0"/>
        <v>219</v>
      </c>
      <c r="G16" s="22">
        <f t="shared" si="1"/>
        <v>0.42586290714632963</v>
      </c>
      <c r="H16" s="22">
        <f t="shared" si="2"/>
        <v>6.0912651736888757E-2</v>
      </c>
      <c r="I16" s="21" t="str">
        <f>IF(G16&gt;MEDIAN(G11:G30),"Above median growth","Below median growth")</f>
        <v>Above median growth</v>
      </c>
    </row>
    <row r="17" spans="2:9" ht="15" customHeight="1" x14ac:dyDescent="0.25">
      <c r="B17" s="24">
        <f>'Establishment Data'!A16</f>
        <v>61</v>
      </c>
      <c r="C17" s="31" t="str">
        <f>'Establishment Data'!B16</f>
        <v>Educational Services</v>
      </c>
      <c r="D17" s="45">
        <f>'Establishment Data'!C16</f>
        <v>46.5</v>
      </c>
      <c r="E17" s="45">
        <f>'Establishment Data'!I16</f>
        <v>61.25</v>
      </c>
      <c r="F17" s="46">
        <f t="shared" si="0"/>
        <v>14.75</v>
      </c>
      <c r="G17" s="25">
        <f t="shared" si="1"/>
        <v>0.31720430107526881</v>
      </c>
      <c r="H17" s="25">
        <f t="shared" si="2"/>
        <v>4.6989171545942954E-2</v>
      </c>
      <c r="I17" s="24" t="str">
        <f>IF(G17&gt;MEDIAN(G11:G30),"Above median growth","Below median growth")</f>
        <v>Above median growth</v>
      </c>
    </row>
    <row r="18" spans="2:9" ht="15" customHeight="1" x14ac:dyDescent="0.25">
      <c r="B18" s="21">
        <f>'Establishment Data'!A17</f>
        <v>62</v>
      </c>
      <c r="C18" s="27" t="str">
        <f>'Establishment Data'!B17</f>
        <v>Health Care and Social Assistance</v>
      </c>
      <c r="D18" s="47">
        <f>'Establishment Data'!C17</f>
        <v>169.25</v>
      </c>
      <c r="E18" s="47">
        <f>'Establishment Data'!I17</f>
        <v>211.5</v>
      </c>
      <c r="F18" s="48">
        <f t="shared" si="0"/>
        <v>42.25</v>
      </c>
      <c r="G18" s="22">
        <f t="shared" si="1"/>
        <v>0.24963072378138848</v>
      </c>
      <c r="H18" s="22">
        <f t="shared" si="2"/>
        <v>3.7839706812010654E-2</v>
      </c>
      <c r="I18" s="21" t="str">
        <f>IF(G18&gt;MEDIAN(G11:G30),"Above median growth","Below median growth")</f>
        <v>Above median growth</v>
      </c>
    </row>
    <row r="19" spans="2:9" ht="15" customHeight="1" x14ac:dyDescent="0.25">
      <c r="B19" s="24">
        <f>'Establishment Data'!A18</f>
        <v>71</v>
      </c>
      <c r="C19" s="31" t="str">
        <f>'Establishment Data'!B18</f>
        <v>Arts, Entertainment, and Recreation</v>
      </c>
      <c r="D19" s="45">
        <f>'Establishment Data'!C18</f>
        <v>79.75</v>
      </c>
      <c r="E19" s="45">
        <f>'Establishment Data'!I18</f>
        <v>93.5</v>
      </c>
      <c r="F19" s="46">
        <f t="shared" si="0"/>
        <v>13.75</v>
      </c>
      <c r="G19" s="25">
        <f t="shared" si="1"/>
        <v>0.17241379310344829</v>
      </c>
      <c r="H19" s="25">
        <f t="shared" si="2"/>
        <v>2.6865319313918778E-2</v>
      </c>
      <c r="I19" s="24" t="str">
        <f>IF(G19&gt;MEDIAN(G11:G30),"Above median growth","Below median growth")</f>
        <v>Above median growth</v>
      </c>
    </row>
    <row r="20" spans="2:9" ht="15" customHeight="1" x14ac:dyDescent="0.25">
      <c r="B20" s="21">
        <f>'Establishment Data'!A19</f>
        <v>72</v>
      </c>
      <c r="C20" s="27" t="str">
        <f>'Establishment Data'!B19</f>
        <v>Accommodation and Food Services</v>
      </c>
      <c r="D20" s="47">
        <f>'Establishment Data'!C19</f>
        <v>203</v>
      </c>
      <c r="E20" s="47">
        <f>'Establishment Data'!I19</f>
        <v>237</v>
      </c>
      <c r="F20" s="48">
        <f t="shared" si="0"/>
        <v>34</v>
      </c>
      <c r="G20" s="22">
        <f t="shared" si="1"/>
        <v>0.16748768472906403</v>
      </c>
      <c r="H20" s="22">
        <f t="shared" si="2"/>
        <v>2.6144963793941711E-2</v>
      </c>
      <c r="I20" s="21" t="str">
        <f>IF(G20&gt;MEDIAN(G11:G30),"Above median growth","Below median growth")</f>
        <v>Above median growth</v>
      </c>
    </row>
    <row r="21" spans="2:9" ht="15" customHeight="1" x14ac:dyDescent="0.25">
      <c r="B21" s="24">
        <f>'Establishment Data'!A20</f>
        <v>81</v>
      </c>
      <c r="C21" s="31" t="str">
        <f>'Establishment Data'!B20</f>
        <v>Other Services (except Public Administration)</v>
      </c>
      <c r="D21" s="45">
        <f>'Establishment Data'!C20</f>
        <v>187.00000000599999</v>
      </c>
      <c r="E21" s="45">
        <f>'Establishment Data'!I20</f>
        <v>216.5</v>
      </c>
      <c r="F21" s="46">
        <f t="shared" si="0"/>
        <v>29.499999994000007</v>
      </c>
      <c r="G21" s="25">
        <f t="shared" si="1"/>
        <v>0.15775401065804001</v>
      </c>
      <c r="H21" s="25">
        <f t="shared" si="2"/>
        <v>2.4714108442481342E-2</v>
      </c>
      <c r="I21" s="24" t="str">
        <f>IF(G21&gt;MEDIAN(G11:G30),"Above median growth","Below median growth")</f>
        <v>Below median growth</v>
      </c>
    </row>
    <row r="22" spans="2:9" ht="15" customHeight="1" x14ac:dyDescent="0.25">
      <c r="B22" s="21">
        <f>'Establishment Data'!A5</f>
        <v>23</v>
      </c>
      <c r="C22" s="27" t="str">
        <f>'Establishment Data'!B5</f>
        <v>Construction</v>
      </c>
      <c r="D22" s="47">
        <f>'Establishment Data'!C5</f>
        <v>371</v>
      </c>
      <c r="E22" s="47">
        <f>'Establishment Data'!I5</f>
        <v>428.25</v>
      </c>
      <c r="F22" s="48">
        <f t="shared" si="0"/>
        <v>57.25</v>
      </c>
      <c r="G22" s="22">
        <f t="shared" si="1"/>
        <v>0.15431266846361186</v>
      </c>
      <c r="H22" s="22">
        <f t="shared" si="2"/>
        <v>2.420583015883282E-2</v>
      </c>
      <c r="I22" s="21" t="str">
        <f>IF(G22&gt;MEDIAN(G11:G30),"Above median growth","Below median growth")</f>
        <v>Below median growth</v>
      </c>
    </row>
    <row r="23" spans="2:9" ht="15" customHeight="1" x14ac:dyDescent="0.25">
      <c r="B23" s="24">
        <f>'Establishment Data'!A15</f>
        <v>56</v>
      </c>
      <c r="C23" s="31" t="str">
        <f>'Establishment Data'!B15</f>
        <v>Administrative and Support and Waste Management and Remediation Services</v>
      </c>
      <c r="D23" s="45">
        <f>'Establishment Data'!C15</f>
        <v>187.75</v>
      </c>
      <c r="E23" s="45">
        <f>'Establishment Data'!I15</f>
        <v>209.5</v>
      </c>
      <c r="F23" s="46">
        <f t="shared" si="0"/>
        <v>21.75</v>
      </c>
      <c r="G23" s="25">
        <f t="shared" si="1"/>
        <v>0.11584553928095873</v>
      </c>
      <c r="H23" s="25">
        <f t="shared" si="2"/>
        <v>1.8436635757611786E-2</v>
      </c>
      <c r="I23" s="24" t="str">
        <f>IF(G23&gt;MEDIAN(G11:G30),"Above median growth","Below median growth")</f>
        <v>Below median growth</v>
      </c>
    </row>
    <row r="24" spans="2:9" ht="15" customHeight="1" x14ac:dyDescent="0.25">
      <c r="B24" s="21">
        <f>'Establishment Data'!A7</f>
        <v>42</v>
      </c>
      <c r="C24" s="27" t="str">
        <f>'Establishment Data'!B7</f>
        <v>Wholesale Trade</v>
      </c>
      <c r="D24" s="47">
        <f>'Establishment Data'!C7</f>
        <v>124.250001031</v>
      </c>
      <c r="E24" s="47">
        <f>'Establishment Data'!I7</f>
        <v>132</v>
      </c>
      <c r="F24" s="48">
        <f t="shared" si="0"/>
        <v>7.7499989690000035</v>
      </c>
      <c r="G24" s="22">
        <f t="shared" si="1"/>
        <v>6.2374236657482221E-2</v>
      </c>
      <c r="H24" s="22">
        <f t="shared" si="2"/>
        <v>1.0135393546606641E-2</v>
      </c>
      <c r="I24" s="21" t="str">
        <f>IF(G24&gt;MEDIAN(G11:G30),"Above median growth","Below median growth")</f>
        <v>Below median growth</v>
      </c>
    </row>
    <row r="25" spans="2:9" ht="15" customHeight="1" x14ac:dyDescent="0.25">
      <c r="B25" s="24">
        <f>'Establishment Data'!A12</f>
        <v>53</v>
      </c>
      <c r="C25" s="31" t="str">
        <f>'Establishment Data'!B12</f>
        <v>Real Estate and Rental and Leasing</v>
      </c>
      <c r="D25" s="45">
        <f>'Establishment Data'!C12</f>
        <v>345</v>
      </c>
      <c r="E25" s="45">
        <f>'Establishment Data'!I12</f>
        <v>358.5</v>
      </c>
      <c r="F25" s="46">
        <f t="shared" si="0"/>
        <v>13.5</v>
      </c>
      <c r="G25" s="25">
        <f t="shared" si="1"/>
        <v>3.9130434782608699E-2</v>
      </c>
      <c r="H25" s="25">
        <f t="shared" si="2"/>
        <v>6.4178807374943858E-3</v>
      </c>
      <c r="I25" s="24" t="str">
        <f>IF(G25&gt;MEDIAN(G11:G30),"Above median growth","Below median growth")</f>
        <v>Below median growth</v>
      </c>
    </row>
    <row r="26" spans="2:9" ht="15" customHeight="1" x14ac:dyDescent="0.25">
      <c r="B26" s="21">
        <f>'Establishment Data'!A6</f>
        <v>31</v>
      </c>
      <c r="C26" s="27" t="str">
        <f>'Establishment Data'!B6</f>
        <v>Manufacturing</v>
      </c>
      <c r="D26" s="47">
        <f>'Establishment Data'!C6</f>
        <v>75.000005572199996</v>
      </c>
      <c r="E26" s="47">
        <f>'Establishment Data'!I6</f>
        <v>76.25</v>
      </c>
      <c r="F26" s="48">
        <f t="shared" si="0"/>
        <v>1.2499944278000044</v>
      </c>
      <c r="G26" s="22">
        <f t="shared" si="1"/>
        <v>1.6666591132405671E-2</v>
      </c>
      <c r="H26" s="22">
        <f t="shared" si="2"/>
        <v>2.7586694207415441E-3</v>
      </c>
      <c r="I26" s="21" t="str">
        <f>IF(G26&gt;MEDIAN(G11:G30),"Above median growth","Below median growth")</f>
        <v>Below median growth</v>
      </c>
    </row>
    <row r="27" spans="2:9" ht="15" customHeight="1" x14ac:dyDescent="0.25">
      <c r="B27" s="24">
        <f>'Establishment Data'!A21</f>
        <v>90</v>
      </c>
      <c r="C27" s="31" t="str">
        <f>'Establishment Data'!B21</f>
        <v>Government</v>
      </c>
      <c r="D27" s="45">
        <f>'Establishment Data'!C21</f>
        <v>100.249999977</v>
      </c>
      <c r="E27" s="45">
        <f>'Establishment Data'!I21</f>
        <v>99</v>
      </c>
      <c r="F27" s="46">
        <f t="shared" si="0"/>
        <v>-1.2499999770000016</v>
      </c>
      <c r="G27" s="25">
        <f t="shared" si="1"/>
        <v>-1.2468827703608824E-2</v>
      </c>
      <c r="H27" s="25">
        <f t="shared" si="2"/>
        <v>-2.0890175962621216E-3</v>
      </c>
      <c r="I27" s="24" t="str">
        <f>IF(G27&gt;MEDIAN(G11:G30),"Above median growth","Below median growth")</f>
        <v>Below median growth</v>
      </c>
    </row>
    <row r="28" spans="2:9" ht="15" customHeight="1" x14ac:dyDescent="0.25">
      <c r="B28" s="21">
        <f>'Establishment Data'!A8</f>
        <v>44</v>
      </c>
      <c r="C28" s="27" t="str">
        <f>'Establishment Data'!B8</f>
        <v>Retail Trade</v>
      </c>
      <c r="D28" s="47">
        <f>'Establishment Data'!C8</f>
        <v>310.74990887299998</v>
      </c>
      <c r="E28" s="47">
        <f>'Establishment Data'!I8</f>
        <v>305.75</v>
      </c>
      <c r="F28" s="48">
        <f t="shared" si="0"/>
        <v>-4.9999088729999812</v>
      </c>
      <c r="G28" s="22">
        <f t="shared" si="1"/>
        <v>-1.6089816055403536E-2</v>
      </c>
      <c r="H28" s="22">
        <f t="shared" si="2"/>
        <v>-2.6997927492395934E-3</v>
      </c>
      <c r="I28" s="21" t="str">
        <f>IF(G28&gt;MEDIAN(G11:G30),"Above median growth","Below median growth")</f>
        <v>Below median growth</v>
      </c>
    </row>
    <row r="29" spans="2:9" ht="15" customHeight="1" x14ac:dyDescent="0.25">
      <c r="B29" s="24">
        <f>'Establishment Data'!A3</f>
        <v>21</v>
      </c>
      <c r="C29" s="31" t="str">
        <f>'Establishment Data'!B3</f>
        <v>Mining, Quarrying, and Oil and Gas Extraction</v>
      </c>
      <c r="D29" s="45">
        <f>'Establishment Data'!C3</f>
        <v>8.4999999970900006</v>
      </c>
      <c r="E29" s="45">
        <f>'Establishment Data'!I3</f>
        <v>7.25</v>
      </c>
      <c r="F29" s="46">
        <f t="shared" si="0"/>
        <v>-1.2499999970900006</v>
      </c>
      <c r="G29" s="25">
        <f t="shared" si="1"/>
        <v>-0.14705882323740491</v>
      </c>
      <c r="H29" s="25">
        <f t="shared" si="2"/>
        <v>-2.6162456508716847E-2</v>
      </c>
      <c r="I29" s="24" t="str">
        <f>IF(G29&gt;MEDIAN(G11:G30),"Above median growth","Below median growth")</f>
        <v>Below median growth</v>
      </c>
    </row>
    <row r="30" spans="2:9" ht="15" customHeight="1" x14ac:dyDescent="0.25">
      <c r="B30" s="21">
        <f>'Establishment Data'!A9</f>
        <v>48</v>
      </c>
      <c r="C30" s="27" t="str">
        <f>'Establishment Data'!B9</f>
        <v>Transportation and Warehousing</v>
      </c>
      <c r="D30" s="47">
        <f>'Establishment Data'!C9</f>
        <v>53</v>
      </c>
      <c r="E30" s="47">
        <f>'Establishment Data'!I9</f>
        <v>43.75</v>
      </c>
      <c r="F30" s="48">
        <f t="shared" si="0"/>
        <v>-9.25</v>
      </c>
      <c r="G30" s="22">
        <f t="shared" si="1"/>
        <v>-0.17452830188679244</v>
      </c>
      <c r="H30" s="22">
        <f t="shared" si="2"/>
        <v>-3.1461182377768293E-2</v>
      </c>
      <c r="I30" s="21" t="str">
        <f>IF(G30&gt;MEDIAN(G11:G30),"Above median growth","Below median growth")</f>
        <v>Below median growth</v>
      </c>
    </row>
    <row r="32" spans="2:9" ht="19.5" customHeight="1" x14ac:dyDescent="0.25">
      <c r="B32" s="14" t="s">
        <v>86</v>
      </c>
      <c r="C32" s="14"/>
      <c r="D32" s="14"/>
      <c r="E32" s="14"/>
      <c r="F32" s="14"/>
      <c r="G32" s="14"/>
      <c r="H32" s="14"/>
      <c r="I32" s="14"/>
    </row>
    <row r="33" spans="2:9" ht="15" customHeight="1" x14ac:dyDescent="0.25">
      <c r="B33" s="49" t="s">
        <v>87</v>
      </c>
      <c r="C33" s="49" t="s">
        <v>88</v>
      </c>
      <c r="D33" s="49" t="s">
        <v>89</v>
      </c>
    </row>
    <row r="34" spans="2:9" ht="15" customHeight="1" x14ac:dyDescent="0.25">
      <c r="B34" s="21">
        <v>2019</v>
      </c>
      <c r="C34" s="47">
        <f>'Establishment Data'!C22</f>
        <v>3019.4718989396797</v>
      </c>
      <c r="D34" s="50"/>
    </row>
    <row r="35" spans="2:9" ht="15" customHeight="1" x14ac:dyDescent="0.25">
      <c r="B35" s="24">
        <v>2020</v>
      </c>
      <c r="C35" s="45">
        <f>'Establishment Data'!D22</f>
        <v>3114.6942044837101</v>
      </c>
      <c r="D35" s="25">
        <f t="shared" ref="D35:D40" si="3">C35/C34-1</f>
        <v>3.1536079397681771E-2</v>
      </c>
    </row>
    <row r="36" spans="2:9" ht="15" customHeight="1" x14ac:dyDescent="0.25">
      <c r="B36" s="21">
        <v>2021</v>
      </c>
      <c r="C36" s="47">
        <f>'Establishment Data'!E22</f>
        <v>3341.1540016094</v>
      </c>
      <c r="D36" s="22">
        <f t="shared" si="3"/>
        <v>7.2706911901557758E-2</v>
      </c>
    </row>
    <row r="37" spans="2:9" ht="15" customHeight="1" x14ac:dyDescent="0.25">
      <c r="B37" s="24">
        <v>2022</v>
      </c>
      <c r="C37" s="45">
        <f>'Establishment Data'!F22</f>
        <v>3555</v>
      </c>
      <c r="D37" s="25">
        <f t="shared" si="3"/>
        <v>6.4003634159812028E-2</v>
      </c>
    </row>
    <row r="38" spans="2:9" ht="15" customHeight="1" x14ac:dyDescent="0.25">
      <c r="B38" s="21">
        <v>2023</v>
      </c>
      <c r="C38" s="47">
        <f>'Establishment Data'!G22</f>
        <v>3572.5</v>
      </c>
      <c r="D38" s="22">
        <f t="shared" si="3"/>
        <v>4.9226441631504692E-3</v>
      </c>
    </row>
    <row r="39" spans="2:9" ht="15" customHeight="1" x14ac:dyDescent="0.25">
      <c r="B39" s="24">
        <v>2024</v>
      </c>
      <c r="C39" s="45">
        <f>'Establishment Data'!H22</f>
        <v>3587</v>
      </c>
      <c r="D39" s="25">
        <f t="shared" si="3"/>
        <v>4.0587823652904476E-3</v>
      </c>
    </row>
    <row r="40" spans="2:9" ht="15" customHeight="1" x14ac:dyDescent="0.25">
      <c r="B40" s="21">
        <v>2025</v>
      </c>
      <c r="C40" s="47">
        <f>'Establishment Data'!I22</f>
        <v>3590.5</v>
      </c>
      <c r="D40" s="22">
        <f t="shared" si="3"/>
        <v>9.7574574853642737E-4</v>
      </c>
    </row>
    <row r="41" spans="2:9" ht="15" customHeight="1" x14ac:dyDescent="0.25">
      <c r="B41" s="3" t="s">
        <v>90</v>
      </c>
      <c r="C41" s="3"/>
      <c r="D41" s="51">
        <f>MEDIAN(D35:D40)</f>
        <v>1.822936178041612E-2</v>
      </c>
    </row>
    <row r="43" spans="2:9" ht="19.5" customHeight="1" x14ac:dyDescent="0.25">
      <c r="B43" s="14" t="s">
        <v>67</v>
      </c>
      <c r="C43" s="14"/>
      <c r="D43" s="14"/>
      <c r="E43" s="14"/>
      <c r="F43" s="14"/>
      <c r="G43" s="14"/>
      <c r="H43" s="14"/>
      <c r="I43" s="14"/>
    </row>
    <row r="45" spans="2:9" ht="51.75" customHeight="1" x14ac:dyDescent="0.25">
      <c r="B45" s="13" t="s">
        <v>91</v>
      </c>
      <c r="C45" s="13"/>
      <c r="D45" s="13"/>
      <c r="E45" s="13"/>
      <c r="F45" s="13"/>
      <c r="G45" s="13"/>
      <c r="H45" s="13"/>
      <c r="I45" s="13"/>
    </row>
    <row r="46" spans="2:9" ht="6" customHeight="1" x14ac:dyDescent="0.25">
      <c r="B46" s="13"/>
      <c r="C46" s="13"/>
      <c r="D46" s="13"/>
      <c r="E46" s="13"/>
      <c r="F46" s="13"/>
      <c r="G46" s="13"/>
      <c r="H46" s="13"/>
      <c r="I46" s="13"/>
    </row>
    <row r="47" spans="2:9" ht="51.75" customHeight="1" x14ac:dyDescent="0.25">
      <c r="B47" s="13" t="s">
        <v>92</v>
      </c>
      <c r="C47" s="13"/>
      <c r="D47" s="13"/>
      <c r="E47" s="13"/>
      <c r="F47" s="13"/>
      <c r="G47" s="13"/>
      <c r="H47" s="13"/>
      <c r="I47" s="13"/>
    </row>
    <row r="48" spans="2:9" ht="6" customHeight="1" x14ac:dyDescent="0.25">
      <c r="B48" s="13"/>
      <c r="C48" s="13"/>
      <c r="D48" s="13"/>
      <c r="E48" s="13"/>
      <c r="F48" s="13"/>
      <c r="G48" s="13"/>
      <c r="H48" s="13"/>
      <c r="I48" s="13"/>
    </row>
    <row r="49" spans="2:9" ht="51.75" customHeight="1" x14ac:dyDescent="0.25">
      <c r="B49" s="13" t="s">
        <v>93</v>
      </c>
      <c r="C49" s="13"/>
      <c r="D49" s="13"/>
      <c r="E49" s="13"/>
      <c r="F49" s="13"/>
      <c r="G49" s="13"/>
      <c r="H49" s="13"/>
      <c r="I49" s="13"/>
    </row>
    <row r="50" spans="2:9" ht="6" customHeight="1" x14ac:dyDescent="0.25">
      <c r="B50" s="13"/>
      <c r="C50" s="13"/>
      <c r="D50" s="13"/>
      <c r="E50" s="13"/>
      <c r="F50" s="13"/>
      <c r="G50" s="13"/>
      <c r="H50" s="13"/>
      <c r="I50" s="13"/>
    </row>
    <row r="51" spans="2:9" ht="51.75" customHeight="1" x14ac:dyDescent="0.25">
      <c r="B51" s="13" t="s">
        <v>94</v>
      </c>
      <c r="C51" s="13"/>
      <c r="D51" s="13"/>
      <c r="E51" s="13"/>
      <c r="F51" s="13"/>
      <c r="G51" s="13"/>
      <c r="H51" s="13"/>
      <c r="I51" s="13"/>
    </row>
    <row r="52" spans="2:9" ht="6" customHeight="1" x14ac:dyDescent="0.25">
      <c r="B52" s="13"/>
      <c r="C52" s="13"/>
      <c r="D52" s="13"/>
      <c r="E52" s="13"/>
      <c r="F52" s="13"/>
      <c r="G52" s="13"/>
      <c r="H52" s="13"/>
      <c r="I52" s="13"/>
    </row>
    <row r="53" spans="2:9" ht="51.75" customHeight="1" x14ac:dyDescent="0.25">
      <c r="B53" s="13" t="s">
        <v>95</v>
      </c>
      <c r="C53" s="13"/>
      <c r="D53" s="13"/>
      <c r="E53" s="13"/>
      <c r="F53" s="13"/>
      <c r="G53" s="13"/>
      <c r="H53" s="13"/>
      <c r="I53" s="13"/>
    </row>
    <row r="55" spans="2:9" ht="27.75" customHeight="1" x14ac:dyDescent="0.25">
      <c r="B55" s="12" t="s">
        <v>96</v>
      </c>
      <c r="C55" s="12"/>
      <c r="D55" s="12"/>
      <c r="E55" s="12"/>
      <c r="F55" s="12"/>
      <c r="G55" s="12"/>
      <c r="H55" s="12"/>
      <c r="I55" s="12"/>
    </row>
    <row r="56" spans="2:9" ht="27.75" customHeight="1" x14ac:dyDescent="0.25">
      <c r="B56" s="12" t="s">
        <v>97</v>
      </c>
      <c r="C56" s="12"/>
      <c r="D56" s="12"/>
      <c r="E56" s="12"/>
      <c r="F56" s="12"/>
      <c r="G56" s="12"/>
      <c r="H56" s="12"/>
      <c r="I56" s="12"/>
    </row>
  </sheetData>
  <mergeCells count="24">
    <mergeCell ref="B52:I52"/>
    <mergeCell ref="B53:I53"/>
    <mergeCell ref="B55:I55"/>
    <mergeCell ref="B56:I56"/>
    <mergeCell ref="B47:I47"/>
    <mergeCell ref="B48:I48"/>
    <mergeCell ref="B49:I49"/>
    <mergeCell ref="B50:I50"/>
    <mergeCell ref="B51:I51"/>
    <mergeCell ref="B32:I32"/>
    <mergeCell ref="B41:C41"/>
    <mergeCell ref="B43:I43"/>
    <mergeCell ref="B45:I45"/>
    <mergeCell ref="B46:I46"/>
    <mergeCell ref="B6:C6"/>
    <mergeCell ref="D6:E6"/>
    <mergeCell ref="F6:G6"/>
    <mergeCell ref="H6:I6"/>
    <mergeCell ref="B9:I9"/>
    <mergeCell ref="B4:I4"/>
    <mergeCell ref="B5:C5"/>
    <mergeCell ref="D5:E5"/>
    <mergeCell ref="F5:G5"/>
    <mergeCell ref="H5:I5"/>
  </mergeCells>
  <conditionalFormatting sqref="G11:G30">
    <cfRule type="colorScale" priority="2">
      <colorScale>
        <cfvo type="min"/>
        <cfvo type="percentile" val="50"/>
        <cfvo type="max"/>
        <color rgb="FFF8696B"/>
        <color rgb="FFFFFFFF"/>
        <color rgb="FF63BE7B"/>
      </colorScale>
    </cfRule>
  </conditionalFormatting>
  <conditionalFormatting sqref="I11:I30">
    <cfRule type="cellIs" dxfId="5" priority="3" operator="equal">
      <formula>"Above median growth"</formula>
    </cfRule>
    <cfRule type="cellIs" dxfId="4" priority="4" operator="equal">
      <formula>"Below median growth"</formula>
    </cfRule>
  </conditionalFormatting>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54"/>
  <sheetViews>
    <sheetView showGridLines="0" zoomScaleNormal="100" workbookViewId="0">
      <pane xSplit="2" ySplit="10" topLeftCell="C11" activePane="bottomRight" state="frozen"/>
      <selection pane="topRight" activeCell="C1" sqref="C1"/>
      <selection pane="bottomLeft" activeCell="A11" sqref="A11"/>
      <selection pane="bottomRight"/>
    </sheetView>
  </sheetViews>
  <sheetFormatPr defaultColWidth="8.7109375" defaultRowHeight="15" x14ac:dyDescent="0.25"/>
  <cols>
    <col min="1" max="1" width="3" customWidth="1"/>
    <col min="2" max="2" width="46" customWidth="1"/>
    <col min="3" max="4" width="13" customWidth="1"/>
    <col min="5" max="8" width="12" customWidth="1"/>
    <col min="9" max="9" width="18" customWidth="1"/>
  </cols>
  <sheetData>
    <row r="2" spans="2:9" ht="19.5" customHeight="1" x14ac:dyDescent="0.3">
      <c r="B2" s="15" t="s">
        <v>98</v>
      </c>
    </row>
    <row r="3" spans="2:9" ht="15" customHeight="1" x14ac:dyDescent="0.25">
      <c r="B3" s="16" t="s">
        <v>99</v>
      </c>
    </row>
    <row r="4" spans="2:9" ht="19.5" customHeight="1" x14ac:dyDescent="0.25">
      <c r="B4" s="14" t="s">
        <v>28</v>
      </c>
      <c r="C4" s="14"/>
      <c r="D4" s="14"/>
      <c r="E4" s="14"/>
      <c r="F4" s="14"/>
      <c r="G4" s="14"/>
      <c r="H4" s="14"/>
      <c r="I4" s="14"/>
    </row>
    <row r="5" spans="2:9" ht="15" customHeight="1" x14ac:dyDescent="0.25">
      <c r="B5" s="11" t="s">
        <v>100</v>
      </c>
      <c r="C5" s="11"/>
      <c r="D5" s="11" t="s">
        <v>101</v>
      </c>
      <c r="E5" s="11"/>
      <c r="F5" s="11" t="s">
        <v>31</v>
      </c>
      <c r="G5" s="11"/>
      <c r="H5" s="11" t="s">
        <v>80</v>
      </c>
      <c r="I5" s="11"/>
    </row>
    <row r="6" spans="2:9" ht="31.5" customHeight="1" x14ac:dyDescent="0.35">
      <c r="B6" s="4">
        <f>'Self-Employed Data'!C23</f>
        <v>1975.9155229999999</v>
      </c>
      <c r="C6" s="4"/>
      <c r="D6" s="4">
        <f>'Self-Employed Data'!I23</f>
        <v>2291.4514267999998</v>
      </c>
      <c r="E6" s="4"/>
      <c r="F6" s="6">
        <f>D6/B6-1</f>
        <v>0.15969098887432542</v>
      </c>
      <c r="G6" s="6"/>
      <c r="H6" s="6">
        <f>MEDIAN(H11:H26)</f>
        <v>2.4446122412187798E-2</v>
      </c>
      <c r="I6" s="6"/>
    </row>
    <row r="9" spans="2:9" ht="19.5" customHeight="1" x14ac:dyDescent="0.25">
      <c r="B9" s="14" t="s">
        <v>102</v>
      </c>
      <c r="C9" s="14"/>
      <c r="D9" s="14"/>
      <c r="E9" s="14"/>
      <c r="F9" s="14"/>
      <c r="G9" s="14"/>
      <c r="H9" s="14"/>
      <c r="I9" s="14"/>
    </row>
    <row r="10" spans="2:9" ht="26.25" customHeight="1" x14ac:dyDescent="0.25">
      <c r="B10" s="20" t="s">
        <v>35</v>
      </c>
      <c r="C10" s="20" t="s">
        <v>36</v>
      </c>
      <c r="D10" s="20" t="s">
        <v>103</v>
      </c>
      <c r="E10" s="20" t="s">
        <v>104</v>
      </c>
      <c r="F10" s="20" t="s">
        <v>84</v>
      </c>
      <c r="G10" s="20" t="s">
        <v>40</v>
      </c>
      <c r="H10" s="20" t="s">
        <v>65</v>
      </c>
      <c r="I10" s="20" t="s">
        <v>85</v>
      </c>
    </row>
    <row r="11" spans="2:9" ht="15" customHeight="1" x14ac:dyDescent="0.25">
      <c r="B11" s="24">
        <f>'Self-Employed Data'!A2</f>
        <v>11</v>
      </c>
      <c r="C11" s="31" t="str">
        <f>'Self-Employed Data'!B2</f>
        <v>Agriculture, Forestry, Fishing and Hunting</v>
      </c>
      <c r="D11" s="45">
        <f>'Self-Employed Data'!C2</f>
        <v>10.6511945108</v>
      </c>
      <c r="E11" s="45">
        <f>'Self-Employed Data'!I2</f>
        <v>30.063676737200002</v>
      </c>
      <c r="F11" s="46">
        <f t="shared" ref="F11:F26" si="0">E11-D11</f>
        <v>19.412482226400002</v>
      </c>
      <c r="G11" s="25">
        <f t="shared" ref="G11:G26" si="1">(E11-D11)/D11</f>
        <v>1.8225638642422981</v>
      </c>
      <c r="H11" s="25">
        <f t="shared" ref="H11:H26" si="2">(E11/D11)^(1/6)-1</f>
        <v>0.18879589344267145</v>
      </c>
      <c r="I11" s="24" t="str">
        <f>IF(G11&gt;MEDIAN(G11:G26),"Above median growth","Below median growth")</f>
        <v>Above median growth</v>
      </c>
    </row>
    <row r="12" spans="2:9" ht="15" customHeight="1" x14ac:dyDescent="0.25">
      <c r="B12" s="21">
        <f>'Self-Employed Data'!A6</f>
        <v>31</v>
      </c>
      <c r="C12" s="27" t="str">
        <f>'Self-Employed Data'!B6</f>
        <v>Manufacturing</v>
      </c>
      <c r="D12" s="47">
        <f>'Self-Employed Data'!C6</f>
        <v>40.546363953899998</v>
      </c>
      <c r="E12" s="47">
        <f>'Self-Employed Data'!I6</f>
        <v>71.269375305599993</v>
      </c>
      <c r="F12" s="48">
        <f t="shared" si="0"/>
        <v>30.723011351699995</v>
      </c>
      <c r="G12" s="22">
        <f t="shared" si="1"/>
        <v>0.75772543714724061</v>
      </c>
      <c r="H12" s="22">
        <f t="shared" si="2"/>
        <v>9.8563519104450048E-2</v>
      </c>
      <c r="I12" s="21" t="str">
        <f>IF(G12&gt;MEDIAN(G11:G26),"Above median growth","Below median growth")</f>
        <v>Above median growth</v>
      </c>
    </row>
    <row r="13" spans="2:9" ht="15" customHeight="1" x14ac:dyDescent="0.25">
      <c r="B13" s="24">
        <f>'Self-Employed Data'!A19</f>
        <v>72</v>
      </c>
      <c r="C13" s="31" t="str">
        <f>'Self-Employed Data'!B19</f>
        <v>Accommodation and Food Services</v>
      </c>
      <c r="D13" s="45">
        <f>'Self-Employed Data'!C19</f>
        <v>53.219865419800001</v>
      </c>
      <c r="E13" s="45">
        <f>'Self-Employed Data'!I19</f>
        <v>87.783324051600005</v>
      </c>
      <c r="F13" s="46">
        <f t="shared" si="0"/>
        <v>34.563458631800003</v>
      </c>
      <c r="G13" s="25">
        <f t="shared" si="1"/>
        <v>0.64944656209034601</v>
      </c>
      <c r="H13" s="25">
        <f t="shared" si="2"/>
        <v>8.6983725177074422E-2</v>
      </c>
      <c r="I13" s="24" t="str">
        <f>IF(G13&gt;MEDIAN(G11:G26),"Above median growth","Below median growth")</f>
        <v>Above median growth</v>
      </c>
    </row>
    <row r="14" spans="2:9" ht="15" customHeight="1" x14ac:dyDescent="0.25">
      <c r="B14" s="21">
        <f>'Self-Employed Data'!A17</f>
        <v>62</v>
      </c>
      <c r="C14" s="27" t="str">
        <f>'Self-Employed Data'!B17</f>
        <v>Health Care and Social Assistance</v>
      </c>
      <c r="D14" s="47">
        <f>'Self-Employed Data'!C17</f>
        <v>124.587928573</v>
      </c>
      <c r="E14" s="47">
        <f>'Self-Employed Data'!I17</f>
        <v>188.34378803499999</v>
      </c>
      <c r="F14" s="48">
        <f t="shared" si="0"/>
        <v>63.755859461999989</v>
      </c>
      <c r="G14" s="22">
        <f t="shared" si="1"/>
        <v>0.51173384285495538</v>
      </c>
      <c r="H14" s="22">
        <f t="shared" si="2"/>
        <v>7.1303579341797096E-2</v>
      </c>
      <c r="I14" s="21" t="str">
        <f>IF(G14&gt;MEDIAN(G11:G26),"Above median growth","Below median growth")</f>
        <v>Above median growth</v>
      </c>
    </row>
    <row r="15" spans="2:9" ht="15" customHeight="1" x14ac:dyDescent="0.25">
      <c r="B15" s="24">
        <f>'Self-Employed Data'!A10</f>
        <v>51</v>
      </c>
      <c r="C15" s="31" t="str">
        <f>'Self-Employed Data'!B10</f>
        <v>Information</v>
      </c>
      <c r="D15" s="45">
        <f>'Self-Employed Data'!C10</f>
        <v>45.764398872999998</v>
      </c>
      <c r="E15" s="45">
        <f>'Self-Employed Data'!I10</f>
        <v>59.632596252900001</v>
      </c>
      <c r="F15" s="46">
        <f t="shared" si="0"/>
        <v>13.868197379900003</v>
      </c>
      <c r="G15" s="25">
        <f t="shared" si="1"/>
        <v>0.30303462345010584</v>
      </c>
      <c r="H15" s="25">
        <f t="shared" si="2"/>
        <v>4.5103557209905443E-2</v>
      </c>
      <c r="I15" s="24" t="str">
        <f>IF(G15&gt;MEDIAN(G11:G26),"Above median growth","Below median growth")</f>
        <v>Above median growth</v>
      </c>
    </row>
    <row r="16" spans="2:9" ht="15" customHeight="1" x14ac:dyDescent="0.25">
      <c r="B16" s="21">
        <f>'Self-Employed Data'!A9</f>
        <v>48</v>
      </c>
      <c r="C16" s="27" t="str">
        <f>'Self-Employed Data'!B9</f>
        <v>Transportation and Warehousing</v>
      </c>
      <c r="D16" s="47">
        <f>'Self-Employed Data'!C9</f>
        <v>34.4499415704</v>
      </c>
      <c r="E16" s="47">
        <f>'Self-Employed Data'!I9</f>
        <v>43.485716814699998</v>
      </c>
      <c r="F16" s="48">
        <f t="shared" si="0"/>
        <v>9.0357752442999981</v>
      </c>
      <c r="G16" s="22">
        <f t="shared" si="1"/>
        <v>0.2622870992635789</v>
      </c>
      <c r="H16" s="22">
        <f t="shared" si="2"/>
        <v>3.9584248618051543E-2</v>
      </c>
      <c r="I16" s="21" t="str">
        <f>IF(G16&gt;MEDIAN(G11:G26),"Above median growth","Below median growth")</f>
        <v>Above median growth</v>
      </c>
    </row>
    <row r="17" spans="2:9" ht="15" customHeight="1" x14ac:dyDescent="0.25">
      <c r="B17" s="24">
        <f>'Self-Employed Data'!A5</f>
        <v>23</v>
      </c>
      <c r="C17" s="31" t="str">
        <f>'Self-Employed Data'!B5</f>
        <v>Construction</v>
      </c>
      <c r="D17" s="45">
        <f>'Self-Employed Data'!C5</f>
        <v>203.0622501</v>
      </c>
      <c r="E17" s="45">
        <f>'Self-Employed Data'!I5</f>
        <v>242.50567258199999</v>
      </c>
      <c r="F17" s="46">
        <f t="shared" si="0"/>
        <v>39.443422481999988</v>
      </c>
      <c r="G17" s="25">
        <f t="shared" si="1"/>
        <v>0.19424300904070396</v>
      </c>
      <c r="H17" s="25">
        <f t="shared" si="2"/>
        <v>3.0027416556813957E-2</v>
      </c>
      <c r="I17" s="24" t="str">
        <f>IF(G17&gt;MEDIAN(G11:G26),"Above median growth","Below median growth")</f>
        <v>Above median growth</v>
      </c>
    </row>
    <row r="18" spans="2:9" ht="15" customHeight="1" x14ac:dyDescent="0.25">
      <c r="B18" s="21">
        <f>'Self-Employed Data'!A20</f>
        <v>81</v>
      </c>
      <c r="C18" s="27" t="str">
        <f>'Self-Employed Data'!B20</f>
        <v>Other Services (except Public Administration)</v>
      </c>
      <c r="D18" s="47">
        <f>'Self-Employed Data'!C20</f>
        <v>356.699271694</v>
      </c>
      <c r="E18" s="47">
        <f>'Self-Employed Data'!I20</f>
        <v>416.48619162400001</v>
      </c>
      <c r="F18" s="48">
        <f t="shared" si="0"/>
        <v>59.78691993000001</v>
      </c>
      <c r="G18" s="22">
        <f t="shared" si="1"/>
        <v>0.16761155593636631</v>
      </c>
      <c r="H18" s="22">
        <f t="shared" si="2"/>
        <v>2.6163108767147891E-2</v>
      </c>
      <c r="I18" s="21" t="str">
        <f>IF(G18&gt;MEDIAN(G11:G26),"Above median growth","Below median growth")</f>
        <v>Above median growth</v>
      </c>
    </row>
    <row r="19" spans="2:9" ht="15" customHeight="1" x14ac:dyDescent="0.25">
      <c r="B19" s="24">
        <f>'Self-Employed Data'!A15</f>
        <v>56</v>
      </c>
      <c r="C19" s="31" t="str">
        <f>'Self-Employed Data'!B15</f>
        <v>Administrative and Support and Waste Management and Remediation Services</v>
      </c>
      <c r="D19" s="45">
        <f>'Self-Employed Data'!C15</f>
        <v>155.910934728</v>
      </c>
      <c r="E19" s="45">
        <f>'Self-Employed Data'!I15</f>
        <v>178.41869006799999</v>
      </c>
      <c r="F19" s="46">
        <f t="shared" si="0"/>
        <v>22.507755339999989</v>
      </c>
      <c r="G19" s="25">
        <f t="shared" si="1"/>
        <v>0.14436290423931264</v>
      </c>
      <c r="H19" s="25">
        <f t="shared" si="2"/>
        <v>2.2729136057227706E-2</v>
      </c>
      <c r="I19" s="24" t="str">
        <f>IF(G19&gt;MEDIAN(G11:G26),"Above median growth","Below median growth")</f>
        <v>Below median growth</v>
      </c>
    </row>
    <row r="20" spans="2:9" ht="15" customHeight="1" x14ac:dyDescent="0.25">
      <c r="B20" s="21">
        <f>'Self-Employed Data'!A13</f>
        <v>54</v>
      </c>
      <c r="C20" s="27" t="str">
        <f>'Self-Employed Data'!B13</f>
        <v>Professional, Scientific, and Technical Services</v>
      </c>
      <c r="D20" s="47">
        <f>'Self-Employed Data'!C13</f>
        <v>361.38169718799998</v>
      </c>
      <c r="E20" s="47">
        <f>'Self-Employed Data'!I13</f>
        <v>400.799898074</v>
      </c>
      <c r="F20" s="48">
        <f t="shared" si="0"/>
        <v>39.418200886000022</v>
      </c>
      <c r="G20" s="22">
        <f t="shared" si="1"/>
        <v>0.1090763621752921</v>
      </c>
      <c r="H20" s="22">
        <f t="shared" si="2"/>
        <v>1.7404314182645209E-2</v>
      </c>
      <c r="I20" s="21" t="str">
        <f>IF(G20&gt;MEDIAN(G11:G26),"Above median growth","Below median growth")</f>
        <v>Below median growth</v>
      </c>
    </row>
    <row r="21" spans="2:9" ht="15" customHeight="1" x14ac:dyDescent="0.25">
      <c r="B21" s="24">
        <f>'Self-Employed Data'!A16</f>
        <v>61</v>
      </c>
      <c r="C21" s="31" t="str">
        <f>'Self-Employed Data'!B16</f>
        <v>Educational Services</v>
      </c>
      <c r="D21" s="45">
        <f>'Self-Employed Data'!C16</f>
        <v>118.911382381</v>
      </c>
      <c r="E21" s="45">
        <f>'Self-Employed Data'!I16</f>
        <v>130.02323051600001</v>
      </c>
      <c r="F21" s="46">
        <f t="shared" si="0"/>
        <v>11.111848135000017</v>
      </c>
      <c r="G21" s="25">
        <f t="shared" si="1"/>
        <v>9.3446463345257511E-2</v>
      </c>
      <c r="H21" s="25">
        <f t="shared" si="2"/>
        <v>1.5000494979148904E-2</v>
      </c>
      <c r="I21" s="24" t="str">
        <f>IF(G21&gt;MEDIAN(G11:G26),"Above median growth","Below median growth")</f>
        <v>Below median growth</v>
      </c>
    </row>
    <row r="22" spans="2:9" ht="15" customHeight="1" x14ac:dyDescent="0.25">
      <c r="B22" s="21">
        <f>'Self-Employed Data'!A12</f>
        <v>53</v>
      </c>
      <c r="C22" s="27" t="str">
        <f>'Self-Employed Data'!B12</f>
        <v>Real Estate and Rental and Leasing</v>
      </c>
      <c r="D22" s="47">
        <f>'Self-Employed Data'!C12</f>
        <v>173.548728998</v>
      </c>
      <c r="E22" s="47">
        <f>'Self-Employed Data'!I12</f>
        <v>175.55153113099999</v>
      </c>
      <c r="F22" s="48">
        <f t="shared" si="0"/>
        <v>2.0028021329999888</v>
      </c>
      <c r="G22" s="22">
        <f t="shared" si="1"/>
        <v>1.1540286953199579E-2</v>
      </c>
      <c r="H22" s="22">
        <f t="shared" si="2"/>
        <v>1.9141973666818579E-3</v>
      </c>
      <c r="I22" s="21" t="str">
        <f>IF(G22&gt;MEDIAN(G11:G26),"Above median growth","Below median growth")</f>
        <v>Below median growth</v>
      </c>
    </row>
    <row r="23" spans="2:9" ht="15" customHeight="1" x14ac:dyDescent="0.25">
      <c r="B23" s="24">
        <f>'Self-Employed Data'!A8</f>
        <v>44</v>
      </c>
      <c r="C23" s="31" t="str">
        <f>'Self-Employed Data'!B8</f>
        <v>Retail Trade</v>
      </c>
      <c r="D23" s="45">
        <f>'Self-Employed Data'!C8</f>
        <v>73.843783763299996</v>
      </c>
      <c r="E23" s="45">
        <f>'Self-Employed Data'!I8</f>
        <v>70.116668914800002</v>
      </c>
      <c r="F23" s="46">
        <f t="shared" si="0"/>
        <v>-3.7271148484999941</v>
      </c>
      <c r="G23" s="25">
        <f t="shared" si="1"/>
        <v>-5.0472966830179579E-2</v>
      </c>
      <c r="H23" s="25">
        <f t="shared" si="2"/>
        <v>-8.5947319851721327E-3</v>
      </c>
      <c r="I23" s="24" t="str">
        <f>IF(G23&gt;MEDIAN(G11:G26),"Above median growth","Below median growth")</f>
        <v>Below median growth</v>
      </c>
    </row>
    <row r="24" spans="2:9" ht="15" customHeight="1" x14ac:dyDescent="0.25">
      <c r="B24" s="21">
        <f>'Self-Employed Data'!A11</f>
        <v>52</v>
      </c>
      <c r="C24" s="27" t="str">
        <f>'Self-Employed Data'!B11</f>
        <v>Finance and Insurance</v>
      </c>
      <c r="D24" s="47">
        <f>'Self-Employed Data'!C11</f>
        <v>76.167956359200005</v>
      </c>
      <c r="E24" s="47">
        <f>'Self-Employed Data'!I11</f>
        <v>72.302038270500006</v>
      </c>
      <c r="F24" s="48">
        <f t="shared" si="0"/>
        <v>-3.8659180886999991</v>
      </c>
      <c r="G24" s="22">
        <f t="shared" si="1"/>
        <v>-5.0755176763161915E-2</v>
      </c>
      <c r="H24" s="22">
        <f t="shared" si="2"/>
        <v>-8.6438475024577244E-3</v>
      </c>
      <c r="I24" s="21" t="str">
        <f>IF(G24&gt;MEDIAN(G11:G26),"Above median growth","Below median growth")</f>
        <v>Below median growth</v>
      </c>
    </row>
    <row r="25" spans="2:9" ht="15" customHeight="1" x14ac:dyDescent="0.25">
      <c r="B25" s="24">
        <f>'Self-Employed Data'!A7</f>
        <v>42</v>
      </c>
      <c r="C25" s="31" t="str">
        <f>'Self-Employed Data'!B7</f>
        <v>Wholesale Trade</v>
      </c>
      <c r="D25" s="45">
        <f>'Self-Employed Data'!C7</f>
        <v>20.948984995299998</v>
      </c>
      <c r="E25" s="45">
        <f>'Self-Employed Data'!I7</f>
        <v>18.129345949000001</v>
      </c>
      <c r="F25" s="46">
        <f t="shared" si="0"/>
        <v>-2.8196390462999972</v>
      </c>
      <c r="G25" s="25">
        <f t="shared" si="1"/>
        <v>-0.13459549696238726</v>
      </c>
      <c r="H25" s="25">
        <f t="shared" si="2"/>
        <v>-2.3805120906058908E-2</v>
      </c>
      <c r="I25" s="24" t="str">
        <f>IF(G25&gt;MEDIAN(G11:G26),"Above median growth","Below median growth")</f>
        <v>Below median growth</v>
      </c>
    </row>
    <row r="26" spans="2:9" ht="15" customHeight="1" x14ac:dyDescent="0.25">
      <c r="B26" s="21">
        <f>'Self-Employed Data'!A18</f>
        <v>71</v>
      </c>
      <c r="C26" s="27" t="str">
        <f>'Self-Employed Data'!B18</f>
        <v>Arts, Entertainment, and Recreation</v>
      </c>
      <c r="D26" s="47">
        <f>'Self-Employed Data'!C18</f>
        <v>122.278452531</v>
      </c>
      <c r="E26" s="47">
        <f>'Self-Employed Data'!I18</f>
        <v>99.932940041899997</v>
      </c>
      <c r="F26" s="48">
        <f t="shared" si="0"/>
        <v>-22.345512489100003</v>
      </c>
      <c r="G26" s="22">
        <f t="shared" si="1"/>
        <v>-0.18274284656517856</v>
      </c>
      <c r="H26" s="22">
        <f t="shared" si="2"/>
        <v>-3.3074259394219152E-2</v>
      </c>
      <c r="I26" s="21" t="str">
        <f>IF(G26&gt;MEDIAN(G11:G26),"Above median growth","Below median growth")</f>
        <v>Below median growth</v>
      </c>
    </row>
    <row r="28" spans="2:9" ht="19.5" customHeight="1" x14ac:dyDescent="0.25">
      <c r="B28" s="14" t="s">
        <v>105</v>
      </c>
      <c r="C28" s="14"/>
      <c r="D28" s="14"/>
      <c r="E28" s="14"/>
      <c r="F28" s="14"/>
      <c r="G28" s="14"/>
      <c r="H28" s="14"/>
      <c r="I28" s="14"/>
    </row>
    <row r="29" spans="2:9" ht="15" customHeight="1" x14ac:dyDescent="0.25">
      <c r="B29" s="49" t="s">
        <v>87</v>
      </c>
      <c r="C29" s="49" t="s">
        <v>106</v>
      </c>
      <c r="D29" s="49" t="s">
        <v>89</v>
      </c>
    </row>
    <row r="30" spans="2:9" ht="15" customHeight="1" x14ac:dyDescent="0.25">
      <c r="B30" s="21">
        <v>2019</v>
      </c>
      <c r="C30" s="47">
        <f>'Self-Employed Data'!C23</f>
        <v>1975.9155229999999</v>
      </c>
      <c r="D30" s="50"/>
    </row>
    <row r="31" spans="2:9" ht="15" customHeight="1" x14ac:dyDescent="0.25">
      <c r="B31" s="24">
        <v>2020</v>
      </c>
      <c r="C31" s="45">
        <f>'Self-Employed Data'!D23</f>
        <v>2237.21349938</v>
      </c>
      <c r="D31" s="25">
        <f t="shared" ref="D31:D36" si="3">C31/C30-1</f>
        <v>0.13224147152975241</v>
      </c>
    </row>
    <row r="32" spans="2:9" ht="15" customHeight="1" x14ac:dyDescent="0.25">
      <c r="B32" s="21">
        <v>2021</v>
      </c>
      <c r="C32" s="47">
        <f>'Self-Employed Data'!E23</f>
        <v>2113.6125189499999</v>
      </c>
      <c r="D32" s="22">
        <f t="shared" si="3"/>
        <v>-5.5247735839361711E-2</v>
      </c>
    </row>
    <row r="33" spans="2:9" ht="15" customHeight="1" x14ac:dyDescent="0.25">
      <c r="B33" s="24">
        <v>2022</v>
      </c>
      <c r="C33" s="45">
        <f>'Self-Employed Data'!F23</f>
        <v>2171.4201777399999</v>
      </c>
      <c r="D33" s="25">
        <f t="shared" si="3"/>
        <v>2.7350168619704185E-2</v>
      </c>
    </row>
    <row r="34" spans="2:9" ht="15" customHeight="1" x14ac:dyDescent="0.25">
      <c r="B34" s="21">
        <v>2023</v>
      </c>
      <c r="C34" s="47">
        <f>'Self-Employed Data'!G23</f>
        <v>2197.43942152</v>
      </c>
      <c r="D34" s="22">
        <f t="shared" si="3"/>
        <v>1.1982592796517588E-2</v>
      </c>
    </row>
    <row r="35" spans="2:9" ht="15" customHeight="1" x14ac:dyDescent="0.25">
      <c r="B35" s="24">
        <v>2024</v>
      </c>
      <c r="C35" s="45">
        <f>'Self-Employed Data'!H23</f>
        <v>2231.8478248500001</v>
      </c>
      <c r="D35" s="25">
        <f t="shared" si="3"/>
        <v>1.5658408142236402E-2</v>
      </c>
    </row>
    <row r="36" spans="2:9" ht="15" customHeight="1" x14ac:dyDescent="0.25">
      <c r="B36" s="21">
        <v>2025</v>
      </c>
      <c r="C36" s="47">
        <f>'Self-Employed Data'!I23</f>
        <v>2291.4514267999998</v>
      </c>
      <c r="D36" s="22">
        <f t="shared" si="3"/>
        <v>2.6705943517455477E-2</v>
      </c>
    </row>
    <row r="37" spans="2:9" ht="15" customHeight="1" x14ac:dyDescent="0.25">
      <c r="B37" s="3" t="s">
        <v>90</v>
      </c>
      <c r="C37" s="3"/>
      <c r="D37" s="51">
        <f>MEDIAN(D31:D36)</f>
        <v>2.1182175829845939E-2</v>
      </c>
    </row>
    <row r="39" spans="2:9" ht="19.5" customHeight="1" x14ac:dyDescent="0.25">
      <c r="B39" s="14" t="s">
        <v>67</v>
      </c>
      <c r="C39" s="14"/>
      <c r="D39" s="14"/>
      <c r="E39" s="14"/>
      <c r="F39" s="14"/>
      <c r="G39" s="14"/>
      <c r="H39" s="14"/>
      <c r="I39" s="14"/>
    </row>
    <row r="41" spans="2:9" ht="57.75" customHeight="1" x14ac:dyDescent="0.25">
      <c r="B41" s="13" t="s">
        <v>107</v>
      </c>
      <c r="C41" s="13"/>
      <c r="D41" s="13"/>
      <c r="E41" s="13"/>
      <c r="F41" s="13"/>
      <c r="G41" s="13"/>
      <c r="H41" s="13"/>
      <c r="I41" s="13"/>
    </row>
    <row r="42" spans="2:9" ht="6" customHeight="1" x14ac:dyDescent="0.25">
      <c r="B42" s="13"/>
      <c r="C42" s="13"/>
      <c r="D42" s="13"/>
      <c r="E42" s="13"/>
      <c r="F42" s="13"/>
      <c r="G42" s="13"/>
      <c r="H42" s="13"/>
      <c r="I42" s="13"/>
    </row>
    <row r="43" spans="2:9" ht="57.75" customHeight="1" x14ac:dyDescent="0.25">
      <c r="B43" s="13" t="s">
        <v>108</v>
      </c>
      <c r="C43" s="13"/>
      <c r="D43" s="13"/>
      <c r="E43" s="13"/>
      <c r="F43" s="13"/>
      <c r="G43" s="13"/>
      <c r="H43" s="13"/>
      <c r="I43" s="13"/>
    </row>
    <row r="44" spans="2:9" ht="6" customHeight="1" x14ac:dyDescent="0.25">
      <c r="B44" s="13"/>
      <c r="C44" s="13"/>
      <c r="D44" s="13"/>
      <c r="E44" s="13"/>
      <c r="F44" s="13"/>
      <c r="G44" s="13"/>
      <c r="H44" s="13"/>
      <c r="I44" s="13"/>
    </row>
    <row r="45" spans="2:9" ht="57.75" customHeight="1" x14ac:dyDescent="0.25">
      <c r="B45" s="13" t="s">
        <v>109</v>
      </c>
      <c r="C45" s="13"/>
      <c r="D45" s="13"/>
      <c r="E45" s="13"/>
      <c r="F45" s="13"/>
      <c r="G45" s="13"/>
      <c r="H45" s="13"/>
      <c r="I45" s="13"/>
    </row>
    <row r="46" spans="2:9" ht="6" customHeight="1" x14ac:dyDescent="0.25">
      <c r="B46" s="13"/>
      <c r="C46" s="13"/>
      <c r="D46" s="13"/>
      <c r="E46" s="13"/>
      <c r="F46" s="13"/>
      <c r="G46" s="13"/>
      <c r="H46" s="13"/>
      <c r="I46" s="13"/>
    </row>
    <row r="47" spans="2:9" ht="57.75" customHeight="1" x14ac:dyDescent="0.25">
      <c r="B47" s="13" t="s">
        <v>110</v>
      </c>
      <c r="C47" s="13"/>
      <c r="D47" s="13"/>
      <c r="E47" s="13"/>
      <c r="F47" s="13"/>
      <c r="G47" s="13"/>
      <c r="H47" s="13"/>
      <c r="I47" s="13"/>
    </row>
    <row r="48" spans="2:9" ht="6" customHeight="1" x14ac:dyDescent="0.25">
      <c r="B48" s="13"/>
      <c r="C48" s="13"/>
      <c r="D48" s="13"/>
      <c r="E48" s="13"/>
      <c r="F48" s="13"/>
      <c r="G48" s="13"/>
      <c r="H48" s="13"/>
      <c r="I48" s="13"/>
    </row>
    <row r="49" spans="2:9" ht="57.75" customHeight="1" x14ac:dyDescent="0.25">
      <c r="B49" s="13" t="s">
        <v>111</v>
      </c>
      <c r="C49" s="13"/>
      <c r="D49" s="13"/>
      <c r="E49" s="13"/>
      <c r="F49" s="13"/>
      <c r="G49" s="13"/>
      <c r="H49" s="13"/>
      <c r="I49" s="13"/>
    </row>
    <row r="50" spans="2:9" ht="6" customHeight="1" x14ac:dyDescent="0.25">
      <c r="B50" s="13"/>
      <c r="C50" s="13"/>
      <c r="D50" s="13"/>
      <c r="E50" s="13"/>
      <c r="F50" s="13"/>
      <c r="G50" s="13"/>
      <c r="H50" s="13"/>
      <c r="I50" s="13"/>
    </row>
    <row r="51" spans="2:9" ht="57.75" customHeight="1" x14ac:dyDescent="0.25">
      <c r="B51" s="13" t="s">
        <v>112</v>
      </c>
      <c r="C51" s="13"/>
      <c r="D51" s="13"/>
      <c r="E51" s="13"/>
      <c r="F51" s="13"/>
      <c r="G51" s="13"/>
      <c r="H51" s="13"/>
      <c r="I51" s="13"/>
    </row>
    <row r="53" spans="2:9" ht="27.75" customHeight="1" x14ac:dyDescent="0.25">
      <c r="B53" s="12" t="s">
        <v>113</v>
      </c>
      <c r="C53" s="12"/>
      <c r="D53" s="12"/>
      <c r="E53" s="12"/>
      <c r="F53" s="12"/>
      <c r="G53" s="12"/>
      <c r="H53" s="12"/>
      <c r="I53" s="12"/>
    </row>
    <row r="54" spans="2:9" ht="27.75" customHeight="1" x14ac:dyDescent="0.25">
      <c r="B54" s="12" t="s">
        <v>114</v>
      </c>
      <c r="C54" s="12"/>
      <c r="D54" s="12"/>
      <c r="E54" s="12"/>
      <c r="F54" s="12"/>
      <c r="G54" s="12"/>
      <c r="H54" s="12"/>
      <c r="I54" s="12"/>
    </row>
  </sheetData>
  <mergeCells count="26">
    <mergeCell ref="B54:I54"/>
    <mergeCell ref="B48:I48"/>
    <mergeCell ref="B49:I49"/>
    <mergeCell ref="B50:I50"/>
    <mergeCell ref="B51:I51"/>
    <mergeCell ref="B53:I53"/>
    <mergeCell ref="B43:I43"/>
    <mergeCell ref="B44:I44"/>
    <mergeCell ref="B45:I45"/>
    <mergeCell ref="B46:I46"/>
    <mergeCell ref="B47:I47"/>
    <mergeCell ref="B28:I28"/>
    <mergeCell ref="B37:C37"/>
    <mergeCell ref="B39:I39"/>
    <mergeCell ref="B41:I41"/>
    <mergeCell ref="B42:I42"/>
    <mergeCell ref="B6:C6"/>
    <mergeCell ref="D6:E6"/>
    <mergeCell ref="F6:G6"/>
    <mergeCell ref="H6:I6"/>
    <mergeCell ref="B9:I9"/>
    <mergeCell ref="B4:I4"/>
    <mergeCell ref="B5:C5"/>
    <mergeCell ref="D5:E5"/>
    <mergeCell ref="F5:G5"/>
    <mergeCell ref="H5:I5"/>
  </mergeCells>
  <conditionalFormatting sqref="G11:G26">
    <cfRule type="colorScale" priority="2">
      <colorScale>
        <cfvo type="min"/>
        <cfvo type="percentile" val="50"/>
        <cfvo type="max"/>
        <color rgb="FFF8696B"/>
        <color rgb="FFFFFFFF"/>
        <color rgb="FF63BE7B"/>
      </colorScale>
    </cfRule>
  </conditionalFormatting>
  <conditionalFormatting sqref="I11:I26">
    <cfRule type="cellIs" dxfId="3" priority="3" operator="equal">
      <formula>"Above median growth"</formula>
    </cfRule>
    <cfRule type="cellIs" dxfId="2" priority="4" operator="equal">
      <formula>"Below median growth"</formula>
    </cfRule>
  </conditionalFormatting>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J47"/>
  <sheetViews>
    <sheetView showGridLines="0" zoomScaleNormal="100" workbookViewId="0">
      <pane xSplit="3" ySplit="10" topLeftCell="D11" activePane="bottomRight" state="frozen"/>
      <selection pane="topRight" activeCell="D1" sqref="D1"/>
      <selection pane="bottomLeft" activeCell="A11" sqref="A11"/>
      <selection pane="bottomRight"/>
    </sheetView>
  </sheetViews>
  <sheetFormatPr defaultColWidth="8.7109375" defaultRowHeight="15" x14ac:dyDescent="0.25"/>
  <cols>
    <col min="1" max="1" width="3" customWidth="1"/>
    <col min="2" max="2" width="42" customWidth="1"/>
    <col min="3" max="4" width="12" customWidth="1"/>
    <col min="5" max="5" width="11" customWidth="1"/>
    <col min="6" max="7" width="12" customWidth="1"/>
    <col min="8" max="9" width="11" customWidth="1"/>
    <col min="10" max="10" width="16" customWidth="1"/>
  </cols>
  <sheetData>
    <row r="2" spans="2:10" ht="19.5" customHeight="1" x14ac:dyDescent="0.3">
      <c r="B2" s="15" t="s">
        <v>115</v>
      </c>
    </row>
    <row r="3" spans="2:10" ht="15" customHeight="1" x14ac:dyDescent="0.25">
      <c r="B3" s="16" t="s">
        <v>116</v>
      </c>
    </row>
    <row r="4" spans="2:10" ht="19.5" customHeight="1" x14ac:dyDescent="0.25">
      <c r="B4" s="14" t="s">
        <v>28</v>
      </c>
      <c r="C4" s="14"/>
      <c r="D4" s="14"/>
      <c r="E4" s="14"/>
      <c r="F4" s="14"/>
      <c r="G4" s="14"/>
      <c r="H4" s="14"/>
      <c r="I4" s="14"/>
      <c r="J4" s="14"/>
    </row>
    <row r="5" spans="2:10" ht="27.75" customHeight="1" x14ac:dyDescent="0.25">
      <c r="B5" s="11" t="s">
        <v>117</v>
      </c>
      <c r="C5" s="11"/>
      <c r="D5" s="11" t="s">
        <v>118</v>
      </c>
      <c r="E5" s="11"/>
      <c r="F5" s="11" t="s">
        <v>119</v>
      </c>
      <c r="G5" s="11"/>
      <c r="H5" s="11" t="s">
        <v>120</v>
      </c>
      <c r="I5" s="11"/>
    </row>
    <row r="6" spans="2:10" ht="30" customHeight="1" x14ac:dyDescent="0.3">
      <c r="B6" s="2" t="str">
        <f>'Job Growth Data'!C23&amp;" / "&amp;TEXT('Job Growth Data'!D23,"#,##0")</f>
        <v>31352.6077976 / 43,197</v>
      </c>
      <c r="C6" s="2"/>
      <c r="D6" s="2" t="str">
        <f>'Job Growth Data'!O23&amp;" / "&amp;TEXT('Job Growth Data'!P23,"#,##0")</f>
        <v>36004.7274003 / 54,666</v>
      </c>
      <c r="E6" s="2"/>
      <c r="F6" s="2" t="str">
        <f>TEXT('Job Growth Data'!O23/'Job Growth Data'!C23-1,"0.0%")&amp;" / "&amp;TEXT('Job Growth Data'!P23/'Job Growth Data'!D23-1,"0.0%")</f>
        <v>14.8% / 26.6%</v>
      </c>
      <c r="G6" s="2"/>
      <c r="H6" s="2" t="str">
        <f>TEXT(('Job Growth Data'!D23-'Job Growth Data'!C23)/'Job Growth Data'!D23,"0.0%")&amp;" -&gt; "&amp;TEXT(('Job Growth Data'!P23-'Job Growth Data'!O23)/'Job Growth Data'!P23,"0.0%")</f>
        <v>27.4% -&gt; 34.1%</v>
      </c>
      <c r="I6" s="2"/>
    </row>
    <row r="9" spans="2:10" ht="19.5" customHeight="1" x14ac:dyDescent="0.25">
      <c r="B9" s="14" t="s">
        <v>121</v>
      </c>
      <c r="C9" s="14"/>
      <c r="D9" s="14"/>
      <c r="E9" s="14"/>
      <c r="F9" s="14"/>
      <c r="G9" s="14"/>
      <c r="H9" s="14"/>
      <c r="I9" s="14"/>
      <c r="J9" s="14"/>
    </row>
    <row r="10" spans="2:10" ht="26.25" customHeight="1" x14ac:dyDescent="0.25">
      <c r="B10" s="20" t="s">
        <v>35</v>
      </c>
      <c r="C10" s="20" t="s">
        <v>36</v>
      </c>
      <c r="D10" s="20" t="s">
        <v>122</v>
      </c>
      <c r="E10" s="20" t="s">
        <v>123</v>
      </c>
      <c r="F10" s="20" t="s">
        <v>124</v>
      </c>
      <c r="G10" s="20" t="s">
        <v>125</v>
      </c>
      <c r="H10" s="20" t="s">
        <v>126</v>
      </c>
      <c r="I10" s="20" t="s">
        <v>127</v>
      </c>
      <c r="J10" s="20" t="s">
        <v>128</v>
      </c>
    </row>
    <row r="11" spans="2:10" ht="15" customHeight="1" x14ac:dyDescent="0.25">
      <c r="B11" s="24">
        <f>'Job Growth Data'!A3</f>
        <v>11</v>
      </c>
      <c r="C11" s="31" t="str">
        <f>'Job Growth Data'!B3</f>
        <v>Agriculture, Forestry, Fishing and Hunting</v>
      </c>
      <c r="D11" s="45">
        <f>'Job Growth Data'!C3</f>
        <v>45.039063072200001</v>
      </c>
      <c r="E11" s="45">
        <f>'Job Growth Data'!O3</f>
        <v>177.54825386900001</v>
      </c>
      <c r="F11" s="25">
        <f t="shared" ref="F11:F30" si="0">(E11-D11)/D11</f>
        <v>2.9420947452743578</v>
      </c>
      <c r="G11" s="45">
        <f>'Job Growth Data'!D3</f>
        <v>665.06647948800003</v>
      </c>
      <c r="H11" s="45">
        <f>'Job Growth Data'!P3</f>
        <v>732.81831930999999</v>
      </c>
      <c r="I11" s="25">
        <f t="shared" ref="I11:I30" si="1">(H11-G11)/G11</f>
        <v>0.10187228181182514</v>
      </c>
      <c r="J11" s="52">
        <f t="shared" ref="J11:J30" si="2">(I11-F11)*100</f>
        <v>-284.02224634625327</v>
      </c>
    </row>
    <row r="12" spans="2:10" ht="15" customHeight="1" x14ac:dyDescent="0.25">
      <c r="B12" s="21">
        <f>'Job Growth Data'!A6</f>
        <v>23</v>
      </c>
      <c r="C12" s="27" t="str">
        <f>'Job Growth Data'!B6</f>
        <v>Construction</v>
      </c>
      <c r="D12" s="47">
        <f>'Job Growth Data'!C6</f>
        <v>2158.3724313900002</v>
      </c>
      <c r="E12" s="47">
        <f>'Job Growth Data'!O6</f>
        <v>3293.2258592200001</v>
      </c>
      <c r="F12" s="22">
        <f t="shared" si="0"/>
        <v>0.52579129131071689</v>
      </c>
      <c r="G12" s="47">
        <f>'Job Growth Data'!D6</f>
        <v>2555.8269360200002</v>
      </c>
      <c r="H12" s="47">
        <f>'Job Growth Data'!P6</f>
        <v>3834.86678837</v>
      </c>
      <c r="I12" s="22">
        <f t="shared" si="1"/>
        <v>0.50044071228928899</v>
      </c>
      <c r="J12" s="53">
        <f t="shared" si="2"/>
        <v>-2.5350579021427899</v>
      </c>
    </row>
    <row r="13" spans="2:10" ht="15" customHeight="1" x14ac:dyDescent="0.25">
      <c r="B13" s="24">
        <f>'Job Growth Data'!A18</f>
        <v>62</v>
      </c>
      <c r="C13" s="31" t="str">
        <f>'Job Growth Data'!B18</f>
        <v>Health Care and Social Assistance</v>
      </c>
      <c r="D13" s="45">
        <f>'Job Growth Data'!C18</f>
        <v>1716.1596881800001</v>
      </c>
      <c r="E13" s="45">
        <f>'Job Growth Data'!O18</f>
        <v>2505.4733325100001</v>
      </c>
      <c r="F13" s="25">
        <f t="shared" si="0"/>
        <v>0.45993018584830697</v>
      </c>
      <c r="G13" s="45">
        <f>'Job Growth Data'!D18</f>
        <v>2013.98451733</v>
      </c>
      <c r="H13" s="45">
        <f>'Job Growth Data'!P18</f>
        <v>2901.70150724</v>
      </c>
      <c r="I13" s="25">
        <f t="shared" si="1"/>
        <v>0.44077647185037605</v>
      </c>
      <c r="J13" s="52">
        <f t="shared" si="2"/>
        <v>-1.9153713997930921</v>
      </c>
    </row>
    <row r="14" spans="2:10" ht="15" customHeight="1" x14ac:dyDescent="0.25">
      <c r="B14" s="21">
        <f>'Job Growth Data'!A16</f>
        <v>56</v>
      </c>
      <c r="C14" s="27" t="str">
        <f>'Job Growth Data'!B16</f>
        <v>Administrative and Support and Waste Management and Remediation Services</v>
      </c>
      <c r="D14" s="47">
        <f>'Job Growth Data'!C16</f>
        <v>1110.2057629200001</v>
      </c>
      <c r="E14" s="47">
        <f>'Job Growth Data'!O16</f>
        <v>1452.8588641199999</v>
      </c>
      <c r="F14" s="22">
        <f t="shared" si="0"/>
        <v>0.30863927448797701</v>
      </c>
      <c r="G14" s="47">
        <f>'Job Growth Data'!D16</f>
        <v>1498.3692942499999</v>
      </c>
      <c r="H14" s="47">
        <f>'Job Growth Data'!P16</f>
        <v>1961.1094009599999</v>
      </c>
      <c r="I14" s="22">
        <f t="shared" si="1"/>
        <v>0.30882914411404955</v>
      </c>
      <c r="J14" s="53">
        <f t="shared" si="2"/>
        <v>1.8986962607253632E-2</v>
      </c>
    </row>
    <row r="15" spans="2:10" ht="15" customHeight="1" x14ac:dyDescent="0.25">
      <c r="B15" s="24">
        <f>'Job Growth Data'!A5</f>
        <v>22</v>
      </c>
      <c r="C15" s="31" t="str">
        <f>'Job Growth Data'!B5</f>
        <v>Utilities</v>
      </c>
      <c r="D15" s="45">
        <f>'Job Growth Data'!C5</f>
        <v>45.185089297799998</v>
      </c>
      <c r="E15" s="45">
        <f>'Job Growth Data'!O5</f>
        <v>58.688929639800001</v>
      </c>
      <c r="F15" s="25">
        <f t="shared" si="0"/>
        <v>0.298856117180618</v>
      </c>
      <c r="G15" s="45">
        <f>'Job Growth Data'!D5</f>
        <v>91.904194518200001</v>
      </c>
      <c r="H15" s="45">
        <f>'Job Growth Data'!P5</f>
        <v>136.397675034</v>
      </c>
      <c r="I15" s="25">
        <f t="shared" si="1"/>
        <v>0.48412894263480927</v>
      </c>
      <c r="J15" s="52">
        <f t="shared" si="2"/>
        <v>18.527282545419126</v>
      </c>
    </row>
    <row r="16" spans="2:10" ht="15" customHeight="1" x14ac:dyDescent="0.25">
      <c r="B16" s="21">
        <f>'Job Growth Data'!A8</f>
        <v>42</v>
      </c>
      <c r="C16" s="27" t="str">
        <f>'Job Growth Data'!B8</f>
        <v>Wholesale Trade</v>
      </c>
      <c r="D16" s="47">
        <f>'Job Growth Data'!C8</f>
        <v>420.19963748800001</v>
      </c>
      <c r="E16" s="47">
        <f>'Job Growth Data'!O8</f>
        <v>520.62931293600002</v>
      </c>
      <c r="F16" s="22">
        <f t="shared" si="0"/>
        <v>0.23900466941946866</v>
      </c>
      <c r="G16" s="47">
        <f>'Job Growth Data'!D8</f>
        <v>566.04226953099999</v>
      </c>
      <c r="H16" s="47">
        <f>'Job Growth Data'!P8</f>
        <v>731.979069557</v>
      </c>
      <c r="I16" s="22">
        <f t="shared" si="1"/>
        <v>0.29315266537159607</v>
      </c>
      <c r="J16" s="53">
        <f t="shared" si="2"/>
        <v>5.4147995952127408</v>
      </c>
    </row>
    <row r="17" spans="2:10" ht="15" customHeight="1" x14ac:dyDescent="0.25">
      <c r="B17" s="24">
        <f>'Job Growth Data'!A7</f>
        <v>31</v>
      </c>
      <c r="C17" s="31" t="str">
        <f>'Job Growth Data'!B7</f>
        <v>Manufacturing</v>
      </c>
      <c r="D17" s="45">
        <f>'Job Growth Data'!C7</f>
        <v>908.12410392499999</v>
      </c>
      <c r="E17" s="45">
        <f>'Job Growth Data'!O7</f>
        <v>1088.0416064000001</v>
      </c>
      <c r="F17" s="25">
        <f t="shared" si="0"/>
        <v>0.19811995045322472</v>
      </c>
      <c r="G17" s="45">
        <f>'Job Growth Data'!D7</f>
        <v>1025.26051235</v>
      </c>
      <c r="H17" s="45">
        <f>'Job Growth Data'!P7</f>
        <v>1198.2021715000001</v>
      </c>
      <c r="I17" s="25">
        <f t="shared" si="1"/>
        <v>0.16868069828769708</v>
      </c>
      <c r="J17" s="52">
        <f t="shared" si="2"/>
        <v>-2.9439252165527647</v>
      </c>
    </row>
    <row r="18" spans="2:10" ht="15" customHeight="1" x14ac:dyDescent="0.25">
      <c r="B18" s="21">
        <f>'Job Growth Data'!A20</f>
        <v>72</v>
      </c>
      <c r="C18" s="27" t="str">
        <f>'Job Growth Data'!B20</f>
        <v>Accommodation and Food Services</v>
      </c>
      <c r="D18" s="47">
        <f>'Job Growth Data'!C20</f>
        <v>6546.5773902299998</v>
      </c>
      <c r="E18" s="47">
        <f>'Job Growth Data'!O20</f>
        <v>7673.5742099400004</v>
      </c>
      <c r="F18" s="22">
        <f t="shared" si="0"/>
        <v>0.1721505379882794</v>
      </c>
      <c r="G18" s="47">
        <f>'Job Growth Data'!D20</f>
        <v>7156.3198737800003</v>
      </c>
      <c r="H18" s="47">
        <f>'Job Growth Data'!P20</f>
        <v>8394.3160738099996</v>
      </c>
      <c r="I18" s="22">
        <f t="shared" si="1"/>
        <v>0.17299341307616595</v>
      </c>
      <c r="J18" s="53">
        <f t="shared" si="2"/>
        <v>8.4287508788655208E-2</v>
      </c>
    </row>
    <row r="19" spans="2:10" ht="15" customHeight="1" x14ac:dyDescent="0.25">
      <c r="B19" s="24">
        <f>'Job Growth Data'!A12</f>
        <v>52</v>
      </c>
      <c r="C19" s="31" t="str">
        <f>'Job Growth Data'!B12</f>
        <v>Finance and Insurance</v>
      </c>
      <c r="D19" s="45">
        <f>'Job Growth Data'!C12</f>
        <v>581.19407589499997</v>
      </c>
      <c r="E19" s="45">
        <f>'Job Growth Data'!O12</f>
        <v>658.25495007200004</v>
      </c>
      <c r="F19" s="25">
        <f t="shared" si="0"/>
        <v>0.13259060505448458</v>
      </c>
      <c r="G19" s="45">
        <f>'Job Growth Data'!D12</f>
        <v>1982.21397402</v>
      </c>
      <c r="H19" s="45">
        <f>'Job Growth Data'!P12</f>
        <v>3136.1226910700002</v>
      </c>
      <c r="I19" s="25">
        <f t="shared" si="1"/>
        <v>0.58213125937652055</v>
      </c>
      <c r="J19" s="52">
        <f t="shared" si="2"/>
        <v>44.954065432203592</v>
      </c>
    </row>
    <row r="20" spans="2:10" ht="15" customHeight="1" x14ac:dyDescent="0.25">
      <c r="B20" s="21">
        <f>'Job Growth Data'!A19</f>
        <v>71</v>
      </c>
      <c r="C20" s="27" t="str">
        <f>'Job Growth Data'!B19</f>
        <v>Arts, Entertainment, and Recreation</v>
      </c>
      <c r="D20" s="47">
        <f>'Job Growth Data'!C19</f>
        <v>3977.1678882900001</v>
      </c>
      <c r="E20" s="47">
        <f>'Job Growth Data'!O19</f>
        <v>4283.8692033200005</v>
      </c>
      <c r="F20" s="22">
        <f t="shared" si="0"/>
        <v>7.7115506220650873E-2</v>
      </c>
      <c r="G20" s="47">
        <f>'Job Growth Data'!D19</f>
        <v>4646.6143994900003</v>
      </c>
      <c r="H20" s="47">
        <f>'Job Growth Data'!P19</f>
        <v>5171.5430538099999</v>
      </c>
      <c r="I20" s="22">
        <f t="shared" si="1"/>
        <v>0.11297013463772985</v>
      </c>
      <c r="J20" s="53">
        <f t="shared" si="2"/>
        <v>3.5854628417078982</v>
      </c>
    </row>
    <row r="21" spans="2:10" ht="15" customHeight="1" x14ac:dyDescent="0.25">
      <c r="B21" s="24">
        <f>'Job Growth Data'!A14</f>
        <v>54</v>
      </c>
      <c r="C21" s="31" t="str">
        <f>'Job Growth Data'!B14</f>
        <v>Professional, Scientific, and Technical Services</v>
      </c>
      <c r="D21" s="45">
        <f>'Job Growth Data'!C14</f>
        <v>1857.5691695200001</v>
      </c>
      <c r="E21" s="45">
        <f>'Job Growth Data'!O14</f>
        <v>1984.08716734</v>
      </c>
      <c r="F21" s="25">
        <f t="shared" si="0"/>
        <v>6.8109441035077267E-2</v>
      </c>
      <c r="G21" s="45">
        <f>'Job Growth Data'!D14</f>
        <v>3424.1153724800001</v>
      </c>
      <c r="H21" s="45">
        <f>'Job Growth Data'!P14</f>
        <v>4176.14078453</v>
      </c>
      <c r="I21" s="25">
        <f t="shared" si="1"/>
        <v>0.21962618961210029</v>
      </c>
      <c r="J21" s="52">
        <f t="shared" si="2"/>
        <v>15.151674857702302</v>
      </c>
    </row>
    <row r="22" spans="2:10" ht="15" customHeight="1" x14ac:dyDescent="0.25">
      <c r="B22" s="21">
        <f>'Job Growth Data'!A9</f>
        <v>44</v>
      </c>
      <c r="C22" s="27" t="str">
        <f>'Job Growth Data'!B9</f>
        <v>Retail Trade</v>
      </c>
      <c r="D22" s="47">
        <f>'Job Growth Data'!C9</f>
        <v>3561.10115722</v>
      </c>
      <c r="E22" s="47">
        <f>'Job Growth Data'!O9</f>
        <v>3788.45769544</v>
      </c>
      <c r="F22" s="22">
        <f t="shared" si="0"/>
        <v>6.384444815869468E-2</v>
      </c>
      <c r="G22" s="47">
        <f>'Job Growth Data'!D9</f>
        <v>4072.9897564500002</v>
      </c>
      <c r="H22" s="47">
        <f>'Job Growth Data'!P9</f>
        <v>4413.8056641499998</v>
      </c>
      <c r="I22" s="22">
        <f t="shared" si="1"/>
        <v>8.367708442189975E-2</v>
      </c>
      <c r="J22" s="53">
        <f t="shared" si="2"/>
        <v>1.983263626320507</v>
      </c>
    </row>
    <row r="23" spans="2:10" ht="15" customHeight="1" x14ac:dyDescent="0.25">
      <c r="B23" s="24">
        <f>'Job Growth Data'!A22</f>
        <v>90</v>
      </c>
      <c r="C23" s="31" t="str">
        <f>'Job Growth Data'!B22</f>
        <v>Government</v>
      </c>
      <c r="D23" s="45">
        <f>'Job Growth Data'!C22</f>
        <v>3091.9694496100001</v>
      </c>
      <c r="E23" s="45">
        <f>'Job Growth Data'!O22</f>
        <v>3276.55337586</v>
      </c>
      <c r="F23" s="25">
        <f t="shared" si="0"/>
        <v>5.9697849302256863E-2</v>
      </c>
      <c r="G23" s="45">
        <f>'Job Growth Data'!D22</f>
        <v>3091.9694496100001</v>
      </c>
      <c r="H23" s="45">
        <f>'Job Growth Data'!P22</f>
        <v>3276.55337586</v>
      </c>
      <c r="I23" s="25">
        <f t="shared" si="1"/>
        <v>5.9697849302256863E-2</v>
      </c>
      <c r="J23" s="52">
        <f t="shared" si="2"/>
        <v>0</v>
      </c>
    </row>
    <row r="24" spans="2:10" ht="15" customHeight="1" x14ac:dyDescent="0.25">
      <c r="B24" s="21">
        <f>'Job Growth Data'!A17</f>
        <v>61</v>
      </c>
      <c r="C24" s="27" t="str">
        <f>'Job Growth Data'!B17</f>
        <v>Educational Services</v>
      </c>
      <c r="D24" s="47">
        <f>'Job Growth Data'!C17</f>
        <v>559.12368885700005</v>
      </c>
      <c r="E24" s="47">
        <f>'Job Growth Data'!O17</f>
        <v>583.856552728</v>
      </c>
      <c r="F24" s="22">
        <f t="shared" si="0"/>
        <v>4.4235049174111384E-2</v>
      </c>
      <c r="G24" s="47">
        <f>'Job Growth Data'!D17</f>
        <v>700.90819003599995</v>
      </c>
      <c r="H24" s="47">
        <f>'Job Growth Data'!P17</f>
        <v>702.06634755699997</v>
      </c>
      <c r="I24" s="22">
        <f t="shared" si="1"/>
        <v>1.6523669397279206E-3</v>
      </c>
      <c r="J24" s="53">
        <f t="shared" si="2"/>
        <v>-4.2582682234383462</v>
      </c>
    </row>
    <row r="25" spans="2:10" ht="15" customHeight="1" x14ac:dyDescent="0.25">
      <c r="B25" s="24">
        <f>'Job Growth Data'!A21</f>
        <v>81</v>
      </c>
      <c r="C25" s="31" t="str">
        <f>'Job Growth Data'!B21</f>
        <v>Other Services (except Public Administration)</v>
      </c>
      <c r="D25" s="45">
        <f>'Job Growth Data'!C21</f>
        <v>1970.67562731</v>
      </c>
      <c r="E25" s="45">
        <f>'Job Growth Data'!O21</f>
        <v>2014.40122365</v>
      </c>
      <c r="F25" s="25">
        <f t="shared" si="0"/>
        <v>2.2188124587345759E-2</v>
      </c>
      <c r="G25" s="45">
        <f>'Job Growth Data'!D21</f>
        <v>2533.5138078499999</v>
      </c>
      <c r="H25" s="45">
        <f>'Job Growth Data'!P21</f>
        <v>2709.98711293</v>
      </c>
      <c r="I25" s="25">
        <f t="shared" si="1"/>
        <v>6.9655552905693252E-2</v>
      </c>
      <c r="J25" s="52">
        <f t="shared" si="2"/>
        <v>4.7467428318347498</v>
      </c>
    </row>
    <row r="26" spans="2:10" ht="15" customHeight="1" x14ac:dyDescent="0.25">
      <c r="B26" s="21">
        <f>'Job Growth Data'!A11</f>
        <v>51</v>
      </c>
      <c r="C26" s="27" t="str">
        <f>'Job Growth Data'!B11</f>
        <v>Information</v>
      </c>
      <c r="D26" s="47">
        <f>'Job Growth Data'!C11</f>
        <v>495.33178133799998</v>
      </c>
      <c r="E26" s="47">
        <f>'Job Growth Data'!O11</f>
        <v>497.63301454100002</v>
      </c>
      <c r="F26" s="22">
        <f t="shared" si="0"/>
        <v>4.6458420188260508E-3</v>
      </c>
      <c r="G26" s="47">
        <f>'Job Growth Data'!D11</f>
        <v>663.75386315599997</v>
      </c>
      <c r="H26" s="47">
        <f>'Job Growth Data'!P11</f>
        <v>833.91748682599996</v>
      </c>
      <c r="I26" s="22">
        <f t="shared" si="1"/>
        <v>0.25636554921264088</v>
      </c>
      <c r="J26" s="53">
        <f t="shared" si="2"/>
        <v>25.171970719381481</v>
      </c>
    </row>
    <row r="27" spans="2:10" ht="15" customHeight="1" x14ac:dyDescent="0.25">
      <c r="B27" s="24">
        <f>'Job Growth Data'!A13</f>
        <v>53</v>
      </c>
      <c r="C27" s="31" t="str">
        <f>'Job Growth Data'!B13</f>
        <v>Real Estate and Rental and Leasing</v>
      </c>
      <c r="D27" s="45">
        <f>'Job Growth Data'!C13</f>
        <v>1623.29040257</v>
      </c>
      <c r="E27" s="45">
        <f>'Job Growth Data'!O13</f>
        <v>1605.9715776999999</v>
      </c>
      <c r="F27" s="25">
        <f t="shared" si="0"/>
        <v>-1.0668962770050779E-2</v>
      </c>
      <c r="G27" s="45">
        <f>'Job Growth Data'!D13</f>
        <v>5185.8416917499999</v>
      </c>
      <c r="H27" s="45">
        <f>'Job Growth Data'!P13</f>
        <v>8810.9786953900002</v>
      </c>
      <c r="I27" s="25">
        <f t="shared" si="1"/>
        <v>0.69904505750862433</v>
      </c>
      <c r="J27" s="52">
        <f t="shared" si="2"/>
        <v>70.971402027867512</v>
      </c>
    </row>
    <row r="28" spans="2:10" ht="15" customHeight="1" x14ac:dyDescent="0.25">
      <c r="B28" s="21">
        <f>'Job Growth Data'!A15</f>
        <v>55</v>
      </c>
      <c r="C28" s="27" t="str">
        <f>'Job Growth Data'!B15</f>
        <v>Management of Companies and Enterprises</v>
      </c>
      <c r="D28" s="47">
        <f>'Job Growth Data'!C15</f>
        <v>261.19109407100001</v>
      </c>
      <c r="E28" s="47">
        <f>'Job Growth Data'!O15</f>
        <v>247.53891444600001</v>
      </c>
      <c r="F28" s="22">
        <f t="shared" si="0"/>
        <v>-5.2268932344564964E-2</v>
      </c>
      <c r="G28" s="47">
        <f>'Job Growth Data'!D15</f>
        <v>315.66863382299999</v>
      </c>
      <c r="H28" s="47">
        <f>'Job Growth Data'!P15</f>
        <v>346.16306552100002</v>
      </c>
      <c r="I28" s="22">
        <f t="shared" si="1"/>
        <v>9.6602666310833724E-2</v>
      </c>
      <c r="J28" s="53">
        <f t="shared" si="2"/>
        <v>14.887159865539868</v>
      </c>
    </row>
    <row r="29" spans="2:10" ht="15" customHeight="1" x14ac:dyDescent="0.25">
      <c r="B29" s="24">
        <f>'Job Growth Data'!A4</f>
        <v>21</v>
      </c>
      <c r="C29" s="31" t="str">
        <f>'Job Growth Data'!B4</f>
        <v>Mining, Quarrying, and Oil and Gas Extraction</v>
      </c>
      <c r="D29" s="45">
        <f>'Job Growth Data'!C4</f>
        <v>71.161642117900001</v>
      </c>
      <c r="E29" s="45">
        <f>'Job Growth Data'!O4</f>
        <v>60.242101087099996</v>
      </c>
      <c r="F29" s="25">
        <f t="shared" si="0"/>
        <v>-0.15344700748626069</v>
      </c>
      <c r="G29" s="45">
        <f>'Job Growth Data'!D4</f>
        <v>244.48721879300001</v>
      </c>
      <c r="H29" s="45">
        <f>'Job Growth Data'!P4</f>
        <v>281.75428735600002</v>
      </c>
      <c r="I29" s="25">
        <f t="shared" si="1"/>
        <v>0.15242951654889134</v>
      </c>
      <c r="J29" s="52">
        <f t="shared" si="2"/>
        <v>30.587652403515204</v>
      </c>
    </row>
    <row r="30" spans="2:10" ht="15" customHeight="1" x14ac:dyDescent="0.25">
      <c r="B30" s="21">
        <f>'Job Growth Data'!A10</f>
        <v>48</v>
      </c>
      <c r="C30" s="27" t="str">
        <f>'Job Growth Data'!B10</f>
        <v>Transportation and Warehousing</v>
      </c>
      <c r="D30" s="47">
        <f>'Job Growth Data'!C10</f>
        <v>352.96865425800002</v>
      </c>
      <c r="E30" s="47">
        <f>'Job Growth Data'!O10</f>
        <v>233.82125549</v>
      </c>
      <c r="F30" s="22">
        <f t="shared" si="0"/>
        <v>-0.33755801635833094</v>
      </c>
      <c r="G30" s="47">
        <f>'Job Growth Data'!D10</f>
        <v>762.15146071499998</v>
      </c>
      <c r="H30" s="47">
        <f>'Job Growth Data'!P10</f>
        <v>915.51596561400004</v>
      </c>
      <c r="I30" s="22">
        <f t="shared" si="1"/>
        <v>0.2012257573515947</v>
      </c>
      <c r="J30" s="53">
        <f t="shared" si="2"/>
        <v>53.878377370992567</v>
      </c>
    </row>
    <row r="32" spans="2:10" ht="19.5" customHeight="1" x14ac:dyDescent="0.25">
      <c r="B32" s="14" t="s">
        <v>67</v>
      </c>
      <c r="C32" s="14"/>
      <c r="D32" s="14"/>
      <c r="E32" s="14"/>
      <c r="F32" s="14"/>
      <c r="G32" s="14"/>
      <c r="H32" s="14"/>
      <c r="I32" s="14"/>
      <c r="J32" s="14"/>
    </row>
    <row r="34" spans="2:10" ht="61.5" customHeight="1" x14ac:dyDescent="0.25">
      <c r="B34" s="13" t="s">
        <v>129</v>
      </c>
      <c r="C34" s="13"/>
      <c r="D34" s="13"/>
      <c r="E34" s="13"/>
      <c r="F34" s="13"/>
      <c r="G34" s="13"/>
      <c r="H34" s="13"/>
      <c r="I34" s="13"/>
      <c r="J34" s="13"/>
    </row>
    <row r="35" spans="2:10" ht="6" customHeight="1" x14ac:dyDescent="0.25">
      <c r="B35" s="13"/>
      <c r="C35" s="13"/>
      <c r="D35" s="13"/>
      <c r="E35" s="13"/>
      <c r="F35" s="13"/>
      <c r="G35" s="13"/>
      <c r="H35" s="13"/>
      <c r="I35" s="13"/>
      <c r="J35" s="13"/>
    </row>
    <row r="36" spans="2:10" ht="61.5" customHeight="1" x14ac:dyDescent="0.25">
      <c r="B36" s="13" t="s">
        <v>130</v>
      </c>
      <c r="C36" s="13"/>
      <c r="D36" s="13"/>
      <c r="E36" s="13"/>
      <c r="F36" s="13"/>
      <c r="G36" s="13"/>
      <c r="H36" s="13"/>
      <c r="I36" s="13"/>
      <c r="J36" s="13"/>
    </row>
    <row r="37" spans="2:10" ht="6" customHeight="1" x14ac:dyDescent="0.25">
      <c r="B37" s="13"/>
      <c r="C37" s="13"/>
      <c r="D37" s="13"/>
      <c r="E37" s="13"/>
      <c r="F37" s="13"/>
      <c r="G37" s="13"/>
      <c r="H37" s="13"/>
      <c r="I37" s="13"/>
      <c r="J37" s="13"/>
    </row>
    <row r="38" spans="2:10" ht="61.5" customHeight="1" x14ac:dyDescent="0.25">
      <c r="B38" s="13" t="s">
        <v>131</v>
      </c>
      <c r="C38" s="13"/>
      <c r="D38" s="13"/>
      <c r="E38" s="13"/>
      <c r="F38" s="13"/>
      <c r="G38" s="13"/>
      <c r="H38" s="13"/>
      <c r="I38" s="13"/>
      <c r="J38" s="13"/>
    </row>
    <row r="39" spans="2:10" ht="6" customHeight="1" x14ac:dyDescent="0.25">
      <c r="B39" s="13"/>
      <c r="C39" s="13"/>
      <c r="D39" s="13"/>
      <c r="E39" s="13"/>
      <c r="F39" s="13"/>
      <c r="G39" s="13"/>
      <c r="H39" s="13"/>
      <c r="I39" s="13"/>
      <c r="J39" s="13"/>
    </row>
    <row r="40" spans="2:10" ht="61.5" customHeight="1" x14ac:dyDescent="0.25">
      <c r="B40" s="13" t="s">
        <v>132</v>
      </c>
      <c r="C40" s="13"/>
      <c r="D40" s="13"/>
      <c r="E40" s="13"/>
      <c r="F40" s="13"/>
      <c r="G40" s="13"/>
      <c r="H40" s="13"/>
      <c r="I40" s="13"/>
      <c r="J40" s="13"/>
    </row>
    <row r="41" spans="2:10" ht="6" customHeight="1" x14ac:dyDescent="0.25">
      <c r="B41" s="13"/>
      <c r="C41" s="13"/>
      <c r="D41" s="13"/>
      <c r="E41" s="13"/>
      <c r="F41" s="13"/>
      <c r="G41" s="13"/>
      <c r="H41" s="13"/>
      <c r="I41" s="13"/>
      <c r="J41" s="13"/>
    </row>
    <row r="42" spans="2:10" ht="61.5" customHeight="1" x14ac:dyDescent="0.25">
      <c r="B42" s="13" t="s">
        <v>133</v>
      </c>
      <c r="C42" s="13"/>
      <c r="D42" s="13"/>
      <c r="E42" s="13"/>
      <c r="F42" s="13"/>
      <c r="G42" s="13"/>
      <c r="H42" s="13"/>
      <c r="I42" s="13"/>
      <c r="J42" s="13"/>
    </row>
    <row r="43" spans="2:10" ht="6" customHeight="1" x14ac:dyDescent="0.25">
      <c r="B43" s="13"/>
      <c r="C43" s="13"/>
      <c r="D43" s="13"/>
      <c r="E43" s="13"/>
      <c r="F43" s="13"/>
      <c r="G43" s="13"/>
      <c r="H43" s="13"/>
      <c r="I43" s="13"/>
      <c r="J43" s="13"/>
    </row>
    <row r="44" spans="2:10" ht="61.5" customHeight="1" x14ac:dyDescent="0.25">
      <c r="B44" s="13" t="s">
        <v>134</v>
      </c>
      <c r="C44" s="13"/>
      <c r="D44" s="13"/>
      <c r="E44" s="13"/>
      <c r="F44" s="13"/>
      <c r="G44" s="13"/>
      <c r="H44" s="13"/>
      <c r="I44" s="13"/>
      <c r="J44" s="13"/>
    </row>
    <row r="46" spans="2:10" ht="27.75" customHeight="1" x14ac:dyDescent="0.25">
      <c r="B46" s="12" t="s">
        <v>135</v>
      </c>
      <c r="C46" s="12"/>
      <c r="D46" s="12"/>
      <c r="E46" s="12"/>
      <c r="F46" s="12"/>
      <c r="G46" s="12"/>
      <c r="H46" s="12"/>
      <c r="I46" s="12"/>
      <c r="J46" s="12"/>
    </row>
    <row r="47" spans="2:10" ht="27.75" customHeight="1" x14ac:dyDescent="0.25">
      <c r="B47" s="12" t="s">
        <v>136</v>
      </c>
      <c r="C47" s="12"/>
      <c r="D47" s="12"/>
      <c r="E47" s="12"/>
      <c r="F47" s="12"/>
      <c r="G47" s="12"/>
      <c r="H47" s="12"/>
      <c r="I47" s="12"/>
      <c r="J47" s="12"/>
    </row>
  </sheetData>
  <mergeCells count="24">
    <mergeCell ref="B43:J43"/>
    <mergeCell ref="B44:J44"/>
    <mergeCell ref="B46:J46"/>
    <mergeCell ref="B47:J47"/>
    <mergeCell ref="B38:J38"/>
    <mergeCell ref="B39:J39"/>
    <mergeCell ref="B40:J40"/>
    <mergeCell ref="B41:J41"/>
    <mergeCell ref="B42:J42"/>
    <mergeCell ref="B32:J32"/>
    <mergeCell ref="B34:J34"/>
    <mergeCell ref="B35:J35"/>
    <mergeCell ref="B36:J36"/>
    <mergeCell ref="B37:J37"/>
    <mergeCell ref="B6:C6"/>
    <mergeCell ref="D6:E6"/>
    <mergeCell ref="F6:G6"/>
    <mergeCell ref="H6:I6"/>
    <mergeCell ref="B9:J9"/>
    <mergeCell ref="B4:J4"/>
    <mergeCell ref="B5:C5"/>
    <mergeCell ref="D5:E5"/>
    <mergeCell ref="F5:G5"/>
    <mergeCell ref="H5:I5"/>
  </mergeCells>
  <conditionalFormatting sqref="F11:F30">
    <cfRule type="colorScale" priority="2">
      <colorScale>
        <cfvo type="min"/>
        <cfvo type="percentile" val="50"/>
        <cfvo type="max"/>
        <color rgb="FFF8696B"/>
        <color rgb="FFFFFFFF"/>
        <color rgb="FF63BE7B"/>
      </colorScale>
    </cfRule>
  </conditionalFormatting>
  <conditionalFormatting sqref="J11:J30">
    <cfRule type="colorScale" priority="3">
      <colorScale>
        <cfvo type="min"/>
        <cfvo type="num" val="0"/>
        <cfvo type="max"/>
        <color rgb="FFF8696B"/>
        <color rgb="FFFFFFFF"/>
        <color rgb="FF63BE7B"/>
      </colorScale>
    </cfRule>
  </conditionalFormatting>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J38"/>
  <sheetViews>
    <sheetView showGridLines="0" zoomScaleNormal="100" workbookViewId="0">
      <pane xSplit="2" ySplit="10" topLeftCell="C11" activePane="bottomRight" state="frozen"/>
      <selection pane="topRight" activeCell="C1" sqref="C1"/>
      <selection pane="bottomLeft" activeCell="A11" sqref="A11"/>
      <selection pane="bottomRight"/>
    </sheetView>
  </sheetViews>
  <sheetFormatPr defaultColWidth="8.7109375" defaultRowHeight="15" x14ac:dyDescent="0.25"/>
  <cols>
    <col min="1" max="1" width="3" customWidth="1"/>
    <col min="2" max="2" width="38" customWidth="1"/>
    <col min="3" max="10" width="13" customWidth="1"/>
  </cols>
  <sheetData>
    <row r="2" spans="2:10" ht="19.5" customHeight="1" x14ac:dyDescent="0.3">
      <c r="B2" s="15" t="s">
        <v>137</v>
      </c>
    </row>
    <row r="3" spans="2:10" ht="15" customHeight="1" x14ac:dyDescent="0.25">
      <c r="B3" s="16" t="s">
        <v>138</v>
      </c>
    </row>
    <row r="4" spans="2:10" ht="19.5" customHeight="1" x14ac:dyDescent="0.25">
      <c r="B4" s="14" t="s">
        <v>28</v>
      </c>
      <c r="C4" s="14"/>
      <c r="D4" s="14"/>
      <c r="E4" s="14"/>
      <c r="F4" s="14"/>
      <c r="G4" s="14"/>
      <c r="H4" s="14"/>
      <c r="I4" s="14"/>
      <c r="J4" s="14"/>
    </row>
    <row r="5" spans="2:10" ht="27.75" customHeight="1" x14ac:dyDescent="0.25">
      <c r="B5" s="11" t="s">
        <v>139</v>
      </c>
      <c r="C5" s="11"/>
      <c r="D5" s="11" t="s">
        <v>140</v>
      </c>
      <c r="E5" s="11"/>
      <c r="F5" s="11" t="s">
        <v>141</v>
      </c>
      <c r="G5" s="11"/>
      <c r="H5" s="11" t="s">
        <v>142</v>
      </c>
      <c r="I5" s="11"/>
    </row>
    <row r="6" spans="2:10" ht="25.5" customHeight="1" x14ac:dyDescent="0.3">
      <c r="B6" s="1">
        <f>F19</f>
        <v>-4.7832028632929444E-2</v>
      </c>
      <c r="C6" s="1"/>
      <c r="D6" s="1">
        <f>F20</f>
        <v>-2.577306669749542E-2</v>
      </c>
      <c r="E6" s="1"/>
      <c r="F6" s="1">
        <f>F21</f>
        <v>0.46838407494145201</v>
      </c>
      <c r="G6" s="1"/>
      <c r="H6" s="1">
        <f>F22</f>
        <v>0.4137825401535517</v>
      </c>
      <c r="I6" s="1"/>
    </row>
    <row r="9" spans="2:10" ht="19.5" customHeight="1" x14ac:dyDescent="0.25">
      <c r="B9" s="14" t="s">
        <v>143</v>
      </c>
      <c r="C9" s="14"/>
      <c r="D9" s="14"/>
      <c r="E9" s="14"/>
      <c r="F9" s="14"/>
      <c r="G9" s="14"/>
      <c r="H9" s="14"/>
      <c r="I9" s="14"/>
      <c r="J9" s="14"/>
    </row>
    <row r="10" spans="2:10" ht="15" customHeight="1" x14ac:dyDescent="0.25">
      <c r="B10" s="54" t="s">
        <v>144</v>
      </c>
      <c r="C10" s="55">
        <v>2019</v>
      </c>
      <c r="D10" s="55">
        <v>2020</v>
      </c>
      <c r="E10" s="55">
        <v>2021</v>
      </c>
      <c r="F10" s="55">
        <v>2022</v>
      </c>
      <c r="G10" s="55">
        <v>2023</v>
      </c>
      <c r="H10" s="55">
        <v>2024</v>
      </c>
      <c r="I10" s="55">
        <v>2025</v>
      </c>
    </row>
    <row r="11" spans="2:10" ht="15" customHeight="1" x14ac:dyDescent="0.25">
      <c r="B11" s="56" t="s">
        <v>145</v>
      </c>
      <c r="C11" s="57">
        <v>5216651</v>
      </c>
      <c r="D11" s="57">
        <v>4588778</v>
      </c>
      <c r="E11" s="57">
        <v>5500744</v>
      </c>
      <c r="F11" s="57">
        <v>5700651</v>
      </c>
      <c r="G11" s="57">
        <v>5341912</v>
      </c>
      <c r="H11" s="57">
        <v>5328521</v>
      </c>
      <c r="I11" s="57">
        <v>4967128</v>
      </c>
    </row>
    <row r="12" spans="2:10" ht="15" customHeight="1" x14ac:dyDescent="0.25">
      <c r="B12" s="58" t="s">
        <v>146</v>
      </c>
      <c r="C12" s="59">
        <v>24340914</v>
      </c>
      <c r="D12" s="59">
        <v>20466658</v>
      </c>
      <c r="E12" s="59">
        <v>25485604</v>
      </c>
      <c r="F12" s="59">
        <v>25229158</v>
      </c>
      <c r="G12" s="59">
        <v>24710913</v>
      </c>
      <c r="H12" s="59">
        <v>24362435</v>
      </c>
      <c r="I12" s="59">
        <v>23713574</v>
      </c>
      <c r="J12" s="60"/>
    </row>
    <row r="13" spans="2:10" ht="15" customHeight="1" x14ac:dyDescent="0.25">
      <c r="B13" s="56" t="s">
        <v>147</v>
      </c>
      <c r="C13" s="57">
        <v>17934</v>
      </c>
      <c r="D13" s="57">
        <v>18339</v>
      </c>
      <c r="E13" s="57">
        <v>19242</v>
      </c>
      <c r="F13" s="57">
        <v>19997</v>
      </c>
      <c r="G13" s="57">
        <v>22760</v>
      </c>
      <c r="H13" s="57">
        <v>26187</v>
      </c>
      <c r="I13" s="57">
        <v>26334</v>
      </c>
    </row>
    <row r="14" spans="2:10" ht="15" customHeight="1" x14ac:dyDescent="0.25">
      <c r="B14" s="58" t="s">
        <v>148</v>
      </c>
      <c r="C14" s="59">
        <v>1250263</v>
      </c>
      <c r="D14" s="59">
        <v>1181543</v>
      </c>
      <c r="E14" s="59">
        <v>1329060</v>
      </c>
      <c r="F14" s="59">
        <v>1331356</v>
      </c>
      <c r="G14" s="59">
        <v>1568274</v>
      </c>
      <c r="H14" s="59">
        <v>1707140</v>
      </c>
      <c r="I14" s="59">
        <v>1767600</v>
      </c>
      <c r="J14" s="60"/>
    </row>
    <row r="15" spans="2:10" ht="15" customHeight="1" x14ac:dyDescent="0.25">
      <c r="B15" s="56" t="s">
        <v>149</v>
      </c>
      <c r="C15" s="57">
        <v>266</v>
      </c>
      <c r="D15" s="57">
        <v>263</v>
      </c>
      <c r="E15" s="57">
        <v>273</v>
      </c>
      <c r="F15" s="57">
        <v>270</v>
      </c>
      <c r="G15" s="57">
        <v>243</v>
      </c>
      <c r="H15" s="57">
        <v>229</v>
      </c>
      <c r="I15" s="57">
        <v>213</v>
      </c>
    </row>
    <row r="17" spans="2:10" ht="19.5" customHeight="1" x14ac:dyDescent="0.25">
      <c r="B17" s="14" t="s">
        <v>150</v>
      </c>
      <c r="C17" s="14"/>
      <c r="D17" s="14"/>
      <c r="E17" s="14"/>
      <c r="F17" s="14"/>
      <c r="G17" s="14"/>
      <c r="H17" s="14"/>
      <c r="I17" s="14"/>
      <c r="J17" s="14"/>
    </row>
    <row r="18" spans="2:10" ht="15" customHeight="1" x14ac:dyDescent="0.25">
      <c r="B18" s="20" t="s">
        <v>144</v>
      </c>
      <c r="C18" s="20" t="s">
        <v>151</v>
      </c>
      <c r="D18" s="20" t="s">
        <v>152</v>
      </c>
      <c r="E18" s="20" t="s">
        <v>153</v>
      </c>
      <c r="F18" s="20" t="s">
        <v>40</v>
      </c>
      <c r="G18" s="20" t="s">
        <v>65</v>
      </c>
      <c r="H18" s="20" t="s">
        <v>154</v>
      </c>
      <c r="I18" s="20" t="s">
        <v>155</v>
      </c>
    </row>
    <row r="19" spans="2:10" ht="15" customHeight="1" x14ac:dyDescent="0.25">
      <c r="B19" s="31" t="s">
        <v>145</v>
      </c>
      <c r="C19" s="57">
        <f>C11</f>
        <v>5216651</v>
      </c>
      <c r="D19" s="57">
        <f>I11</f>
        <v>4967128</v>
      </c>
      <c r="E19" s="61">
        <f>D19-C19</f>
        <v>-249523</v>
      </c>
      <c r="F19" s="25">
        <f>(D19-C19)/C19</f>
        <v>-4.7832028632929444E-2</v>
      </c>
      <c r="G19" s="25">
        <f>(D19/C19)^(1/6)-1</f>
        <v>-8.1356945095542033E-3</v>
      </c>
      <c r="H19" s="24">
        <f>INDEX($C$10:$I$10,MATCH(MAX(C11:I11),C11:I11,0))</f>
        <v>2022</v>
      </c>
      <c r="I19" s="24">
        <f>INDEX($C$10:$I$10,MATCH(MIN(C11:I11),C11:I11,0))</f>
        <v>2020</v>
      </c>
    </row>
    <row r="20" spans="2:10" ht="15" customHeight="1" x14ac:dyDescent="0.25">
      <c r="B20" s="27" t="s">
        <v>146</v>
      </c>
      <c r="C20" s="59">
        <f>C12</f>
        <v>24340914</v>
      </c>
      <c r="D20" s="59">
        <f>I12</f>
        <v>23713574</v>
      </c>
      <c r="E20" s="62">
        <f>D20-C20</f>
        <v>-627340</v>
      </c>
      <c r="F20" s="22">
        <f>(D20-C20)/C20</f>
        <v>-2.577306669749542E-2</v>
      </c>
      <c r="G20" s="22">
        <f>(D20/C20)^(1/6)-1</f>
        <v>-4.3423797208763659E-3</v>
      </c>
      <c r="H20" s="21">
        <f>INDEX($C$10:$I$10,MATCH(MAX(C12:I12),C12:I12,0))</f>
        <v>2021</v>
      </c>
      <c r="I20" s="21">
        <f>INDEX($C$10:$I$10,MATCH(MIN(C12:I12),C12:I12,0))</f>
        <v>2020</v>
      </c>
    </row>
    <row r="21" spans="2:10" ht="15" customHeight="1" x14ac:dyDescent="0.25">
      <c r="B21" s="31" t="s">
        <v>147</v>
      </c>
      <c r="C21" s="57">
        <f>C13</f>
        <v>17934</v>
      </c>
      <c r="D21" s="57">
        <f>I13</f>
        <v>26334</v>
      </c>
      <c r="E21" s="61">
        <f>D21-C21</f>
        <v>8400</v>
      </c>
      <c r="F21" s="25">
        <f>(D21-C21)/C21</f>
        <v>0.46838407494145201</v>
      </c>
      <c r="G21" s="25">
        <f>(D21/C21)^(1/6)-1</f>
        <v>6.6121277357685582E-2</v>
      </c>
      <c r="H21" s="24">
        <f>INDEX($C$10:$I$10,MATCH(MAX(C13:I13),C13:I13,0))</f>
        <v>2025</v>
      </c>
      <c r="I21" s="24">
        <f>INDEX($C$10:$I$10,MATCH(MIN(C13:I13),C13:I13,0))</f>
        <v>2019</v>
      </c>
    </row>
    <row r="22" spans="2:10" ht="15" customHeight="1" x14ac:dyDescent="0.25">
      <c r="B22" s="27" t="s">
        <v>148</v>
      </c>
      <c r="C22" s="59">
        <f>C14</f>
        <v>1250263</v>
      </c>
      <c r="D22" s="59">
        <f>I14</f>
        <v>1767600</v>
      </c>
      <c r="E22" s="62">
        <f>D22-C22</f>
        <v>517337</v>
      </c>
      <c r="F22" s="22">
        <f>(D22-C22)/C22</f>
        <v>0.4137825401535517</v>
      </c>
      <c r="G22" s="22">
        <f>(D22/C22)^(1/6)-1</f>
        <v>5.9409270553590909E-2</v>
      </c>
      <c r="H22" s="21">
        <f>INDEX($C$10:$I$10,MATCH(MAX(C14:I14),C14:I14,0))</f>
        <v>2025</v>
      </c>
      <c r="I22" s="21">
        <f>INDEX($C$10:$I$10,MATCH(MIN(C14:I14),C14:I14,0))</f>
        <v>2020</v>
      </c>
    </row>
    <row r="23" spans="2:10" ht="15" customHeight="1" x14ac:dyDescent="0.25">
      <c r="B23" s="31" t="s">
        <v>149</v>
      </c>
      <c r="C23" s="57">
        <f>C15</f>
        <v>266</v>
      </c>
      <c r="D23" s="57">
        <f>I15</f>
        <v>213</v>
      </c>
      <c r="E23" s="61">
        <f>D23-C23</f>
        <v>-53</v>
      </c>
      <c r="F23" s="25">
        <f>(D23-C23)/C23</f>
        <v>-0.19924812030075187</v>
      </c>
      <c r="G23" s="25">
        <f>(D23/C23)^(1/6)-1</f>
        <v>-3.6356652060991035E-2</v>
      </c>
      <c r="H23" s="24">
        <f>INDEX($C$10:$I$10,MATCH(MAX(C15:I15),C15:I15,0))</f>
        <v>2021</v>
      </c>
      <c r="I23" s="24">
        <f>INDEX($C$10:$I$10,MATCH(MIN(C15:I15),C15:I15,0))</f>
        <v>2025</v>
      </c>
    </row>
    <row r="25" spans="2:10" ht="19.5" customHeight="1" x14ac:dyDescent="0.25">
      <c r="B25" s="14" t="s">
        <v>67</v>
      </c>
      <c r="C25" s="14"/>
      <c r="D25" s="14"/>
      <c r="E25" s="14"/>
      <c r="F25" s="14"/>
      <c r="G25" s="14"/>
      <c r="H25" s="14"/>
      <c r="I25" s="14"/>
      <c r="J25" s="14"/>
    </row>
    <row r="27" spans="2:10" ht="57.75" customHeight="1" x14ac:dyDescent="0.25">
      <c r="B27" s="13" t="s">
        <v>156</v>
      </c>
      <c r="C27" s="13"/>
      <c r="D27" s="13"/>
      <c r="E27" s="13"/>
      <c r="F27" s="13"/>
      <c r="G27" s="13"/>
      <c r="H27" s="13"/>
      <c r="I27" s="13"/>
      <c r="J27" s="13"/>
    </row>
    <row r="28" spans="2:10" ht="6" customHeight="1" x14ac:dyDescent="0.25">
      <c r="B28" s="13"/>
      <c r="C28" s="13"/>
      <c r="D28" s="13"/>
      <c r="E28" s="13"/>
      <c r="F28" s="13"/>
      <c r="G28" s="13"/>
      <c r="H28" s="13"/>
      <c r="I28" s="13"/>
      <c r="J28" s="13"/>
    </row>
    <row r="29" spans="2:10" ht="57.75" customHeight="1" x14ac:dyDescent="0.25">
      <c r="B29" s="13" t="s">
        <v>157</v>
      </c>
      <c r="C29" s="13"/>
      <c r="D29" s="13"/>
      <c r="E29" s="13"/>
      <c r="F29" s="13"/>
      <c r="G29" s="13"/>
      <c r="H29" s="13"/>
      <c r="I29" s="13"/>
      <c r="J29" s="13"/>
    </row>
    <row r="30" spans="2:10" ht="6" customHeight="1" x14ac:dyDescent="0.25">
      <c r="B30" s="13"/>
      <c r="C30" s="13"/>
      <c r="D30" s="13"/>
      <c r="E30" s="13"/>
      <c r="F30" s="13"/>
      <c r="G30" s="13"/>
      <c r="H30" s="13"/>
      <c r="I30" s="13"/>
      <c r="J30" s="13"/>
    </row>
    <row r="31" spans="2:10" ht="57.75" customHeight="1" x14ac:dyDescent="0.25">
      <c r="B31" s="13" t="s">
        <v>158</v>
      </c>
      <c r="C31" s="13"/>
      <c r="D31" s="13"/>
      <c r="E31" s="13"/>
      <c r="F31" s="13"/>
      <c r="G31" s="13"/>
      <c r="H31" s="13"/>
      <c r="I31" s="13"/>
      <c r="J31" s="13"/>
    </row>
    <row r="32" spans="2:10" ht="6" customHeight="1" x14ac:dyDescent="0.25">
      <c r="B32" s="13"/>
      <c r="C32" s="13"/>
      <c r="D32" s="13"/>
      <c r="E32" s="13"/>
      <c r="F32" s="13"/>
      <c r="G32" s="13"/>
      <c r="H32" s="13"/>
      <c r="I32" s="13"/>
      <c r="J32" s="13"/>
    </row>
    <row r="33" spans="2:10" ht="57.75" customHeight="1" x14ac:dyDescent="0.25">
      <c r="B33" s="13" t="s">
        <v>159</v>
      </c>
      <c r="C33" s="13"/>
      <c r="D33" s="13"/>
      <c r="E33" s="13"/>
      <c r="F33" s="13"/>
      <c r="G33" s="13"/>
      <c r="H33" s="13"/>
      <c r="I33" s="13"/>
      <c r="J33" s="13"/>
    </row>
    <row r="34" spans="2:10" ht="6" customHeight="1" x14ac:dyDescent="0.25">
      <c r="B34" s="13"/>
      <c r="C34" s="13"/>
      <c r="D34" s="13"/>
      <c r="E34" s="13"/>
      <c r="F34" s="13"/>
      <c r="G34" s="13"/>
      <c r="H34" s="13"/>
      <c r="I34" s="13"/>
      <c r="J34" s="13"/>
    </row>
    <row r="35" spans="2:10" ht="57.75" customHeight="1" x14ac:dyDescent="0.25">
      <c r="B35" s="13" t="s">
        <v>160</v>
      </c>
      <c r="C35" s="13"/>
      <c r="D35" s="13"/>
      <c r="E35" s="13"/>
      <c r="F35" s="13"/>
      <c r="G35" s="13"/>
      <c r="H35" s="13"/>
      <c r="I35" s="13"/>
      <c r="J35" s="13"/>
    </row>
    <row r="37" spans="2:10" ht="30" customHeight="1" x14ac:dyDescent="0.25">
      <c r="B37" s="12" t="s">
        <v>161</v>
      </c>
      <c r="C37" s="12"/>
      <c r="D37" s="12"/>
      <c r="E37" s="12"/>
      <c r="F37" s="12"/>
      <c r="G37" s="12"/>
      <c r="H37" s="12"/>
      <c r="I37" s="12"/>
      <c r="J37" s="12"/>
    </row>
    <row r="38" spans="2:10" ht="30" customHeight="1" x14ac:dyDescent="0.25">
      <c r="B38" s="12" t="s">
        <v>162</v>
      </c>
      <c r="C38" s="12"/>
      <c r="D38" s="12"/>
      <c r="E38" s="12"/>
      <c r="F38" s="12"/>
      <c r="G38" s="12"/>
      <c r="H38" s="12"/>
      <c r="I38" s="12"/>
      <c r="J38" s="12"/>
    </row>
  </sheetData>
  <mergeCells count="23">
    <mergeCell ref="B35:J35"/>
    <mergeCell ref="B37:J37"/>
    <mergeCell ref="B38:J38"/>
    <mergeCell ref="B30:J30"/>
    <mergeCell ref="B31:J31"/>
    <mergeCell ref="B32:J32"/>
    <mergeCell ref="B33:J33"/>
    <mergeCell ref="B34:J34"/>
    <mergeCell ref="B17:J17"/>
    <mergeCell ref="B25:J25"/>
    <mergeCell ref="B27:J27"/>
    <mergeCell ref="B28:J28"/>
    <mergeCell ref="B29:J29"/>
    <mergeCell ref="B6:C6"/>
    <mergeCell ref="D6:E6"/>
    <mergeCell ref="F6:G6"/>
    <mergeCell ref="H6:I6"/>
    <mergeCell ref="B9:J9"/>
    <mergeCell ref="B4:J4"/>
    <mergeCell ref="B5:C5"/>
    <mergeCell ref="D5:E5"/>
    <mergeCell ref="F5:G5"/>
    <mergeCell ref="H5:I5"/>
  </mergeCells>
  <conditionalFormatting sqref="F19:F23">
    <cfRule type="colorScale" priority="2">
      <colorScale>
        <cfvo type="min"/>
        <cfvo type="num" val="0"/>
        <cfvo type="max"/>
        <color rgb="FFF8696B"/>
        <color rgb="FFFFFFFF"/>
        <color rgb="FF63BE7B"/>
      </colorScale>
    </cfRule>
  </conditionalFormatting>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52"/>
  <sheetViews>
    <sheetView showGridLines="0" zoomScaleNormal="100" workbookViewId="0">
      <pane xSplit="2" ySplit="17" topLeftCell="C18" activePane="bottomRight" state="frozen"/>
      <selection pane="topRight" activeCell="C1" sqref="C1"/>
      <selection pane="bottomLeft" activeCell="A18" sqref="A18"/>
      <selection pane="bottomRight"/>
    </sheetView>
  </sheetViews>
  <sheetFormatPr defaultColWidth="8.7109375" defaultRowHeight="15" x14ac:dyDescent="0.25"/>
  <cols>
    <col min="1" max="1" width="3" customWidth="1"/>
    <col min="2" max="2" width="22" customWidth="1"/>
    <col min="3" max="4" width="13" customWidth="1"/>
    <col min="5" max="8" width="12" customWidth="1"/>
    <col min="9" max="9" width="18" customWidth="1"/>
  </cols>
  <sheetData>
    <row r="2" spans="2:9" ht="20.25" x14ac:dyDescent="0.3">
      <c r="B2" s="15" t="s">
        <v>163</v>
      </c>
    </row>
    <row r="3" spans="2:9" x14ac:dyDescent="0.25">
      <c r="B3" s="16" t="s">
        <v>164</v>
      </c>
    </row>
    <row r="4" spans="2:9" ht="19.5" customHeight="1" x14ac:dyDescent="0.25">
      <c r="B4" s="14" t="s">
        <v>28</v>
      </c>
      <c r="C4" s="14"/>
      <c r="D4" s="14"/>
      <c r="E4" s="14"/>
      <c r="F4" s="14"/>
      <c r="G4" s="14"/>
      <c r="H4" s="14"/>
      <c r="I4" s="14"/>
    </row>
    <row r="5" spans="2:9" ht="27.75" customHeight="1" x14ac:dyDescent="0.25">
      <c r="B5" s="11" t="s">
        <v>165</v>
      </c>
      <c r="C5" s="11"/>
      <c r="D5" s="11" t="s">
        <v>166</v>
      </c>
      <c r="E5" s="11"/>
      <c r="F5" s="11" t="s">
        <v>31</v>
      </c>
      <c r="G5" s="11"/>
      <c r="H5" s="11" t="s">
        <v>167</v>
      </c>
      <c r="I5" s="11"/>
    </row>
    <row r="6" spans="2:9" ht="27.75" customHeight="1" x14ac:dyDescent="0.3">
      <c r="B6" s="84">
        <f>'Population Data'!B20</f>
        <v>42081</v>
      </c>
      <c r="C6" s="84"/>
      <c r="D6" s="84">
        <f>'Population Data'!H20</f>
        <v>43178.086876004993</v>
      </c>
      <c r="E6" s="84"/>
      <c r="F6" s="85">
        <f>D6/B6-1</f>
        <v>2.6070836624723537E-2</v>
      </c>
      <c r="G6" s="85"/>
      <c r="H6" s="2" t="str">
        <f>TEXT(C14/'Population Data'!$B$20,"0.0%")&amp;" -&gt; "&amp;TEXT(D14/'Population Data'!$H$20,"0.0%")</f>
        <v>13.4% -&gt; 18.0%</v>
      </c>
      <c r="I6" s="2"/>
    </row>
    <row r="9" spans="2:9" ht="19.5" customHeight="1" x14ac:dyDescent="0.25">
      <c r="B9" s="14" t="s">
        <v>168</v>
      </c>
      <c r="C9" s="14"/>
      <c r="D9" s="14"/>
      <c r="E9" s="14"/>
      <c r="F9" s="14"/>
      <c r="G9" s="14"/>
      <c r="H9" s="14"/>
      <c r="I9" s="14"/>
    </row>
    <row r="10" spans="2:9" ht="30" x14ac:dyDescent="0.25">
      <c r="B10" s="20" t="s">
        <v>169</v>
      </c>
      <c r="C10" s="20" t="s">
        <v>170</v>
      </c>
      <c r="D10" s="20" t="s">
        <v>171</v>
      </c>
      <c r="E10" s="20" t="s">
        <v>40</v>
      </c>
      <c r="F10" s="20" t="s">
        <v>41</v>
      </c>
      <c r="G10" s="20" t="s">
        <v>42</v>
      </c>
      <c r="H10" s="20" t="s">
        <v>43</v>
      </c>
    </row>
    <row r="11" spans="2:9" x14ac:dyDescent="0.25">
      <c r="B11" s="31" t="s">
        <v>172</v>
      </c>
      <c r="C11" s="57">
        <f>'Population Data'!B2+'Population Data'!B3+'Population Data'!B4+'Population Data'!B5</f>
        <v>11092</v>
      </c>
      <c r="D11" s="57">
        <f>'Population Data'!H2+'Population Data'!H3+'Population Data'!H4+'Population Data'!H5</f>
        <v>10048.141887439999</v>
      </c>
      <c r="E11" s="25">
        <f>(D11-C11)/C11</f>
        <v>-9.4109097778579273E-2</v>
      </c>
      <c r="F11" s="25">
        <f>C11/'Population Data'!$B$20</f>
        <v>0.26358689194648416</v>
      </c>
      <c r="G11" s="25">
        <f>D11/'Population Data'!$H$20</f>
        <v>0.23271392075094394</v>
      </c>
      <c r="H11" s="52">
        <f>(G11-F11)*100</f>
        <v>-3.0872971195540222</v>
      </c>
    </row>
    <row r="12" spans="2:9" x14ac:dyDescent="0.25">
      <c r="B12" s="27" t="s">
        <v>173</v>
      </c>
      <c r="C12" s="59">
        <f>'Population Data'!B6+'Population Data'!B7+'Population Data'!B8</f>
        <v>7263</v>
      </c>
      <c r="D12" s="59">
        <f>'Population Data'!H6+'Population Data'!H7+'Population Data'!H8</f>
        <v>7639.03087194</v>
      </c>
      <c r="E12" s="22">
        <f>(D12-C12)/C12</f>
        <v>5.1773491937216025E-2</v>
      </c>
      <c r="F12" s="22">
        <f>C12/'Population Data'!$B$20</f>
        <v>0.17259570827689455</v>
      </c>
      <c r="G12" s="22">
        <f>D12/'Population Data'!$H$20</f>
        <v>0.1769191602647216</v>
      </c>
      <c r="H12" s="53">
        <f>(G12-F12)*100</f>
        <v>0.43234519878270483</v>
      </c>
    </row>
    <row r="13" spans="2:9" x14ac:dyDescent="0.25">
      <c r="B13" s="31" t="s">
        <v>174</v>
      </c>
      <c r="C13" s="57">
        <f>'Population Data'!B9+'Population Data'!B10+'Population Data'!B11+'Population Data'!B12+'Population Data'!B13+'Population Data'!B14</f>
        <v>18079</v>
      </c>
      <c r="D13" s="57">
        <f>'Population Data'!H9+'Population Data'!H10+'Population Data'!H11+'Population Data'!H12+'Population Data'!H13+'Population Data'!H14</f>
        <v>17700.856235359995</v>
      </c>
      <c r="E13" s="25">
        <f>(D13-C13)/C13</f>
        <v>-2.0916188098899526E-2</v>
      </c>
      <c r="F13" s="25">
        <f>C13/'Population Data'!$B$20</f>
        <v>0.42962382072669375</v>
      </c>
      <c r="G13" s="25">
        <f>D13/'Population Data'!$H$20</f>
        <v>0.40994998889579676</v>
      </c>
      <c r="H13" s="52">
        <f>(G13-F13)*100</f>
        <v>-1.9673831830896993</v>
      </c>
    </row>
    <row r="14" spans="2:9" x14ac:dyDescent="0.25">
      <c r="B14" s="27" t="s">
        <v>175</v>
      </c>
      <c r="C14" s="59">
        <f>'Population Data'!B15+'Population Data'!B16+'Population Data'!B17+'Population Data'!B18+'Population Data'!B19</f>
        <v>5647</v>
      </c>
      <c r="D14" s="59">
        <f>'Population Data'!H15+'Population Data'!H16+'Population Data'!H17+'Population Data'!H18+'Population Data'!H19</f>
        <v>7790.0578812650019</v>
      </c>
      <c r="E14" s="22">
        <f>(D14-C14)/C14</f>
        <v>0.37950378630511811</v>
      </c>
      <c r="F14" s="22">
        <f>C14/'Population Data'!$B$20</f>
        <v>0.13419357904992751</v>
      </c>
      <c r="G14" s="22">
        <f>D14/'Population Data'!$H$20</f>
        <v>0.18041693008853774</v>
      </c>
      <c r="H14" s="53">
        <f>(G14-F14)*100</f>
        <v>4.6223351038610225</v>
      </c>
    </row>
    <row r="16" spans="2:9" ht="19.5" customHeight="1" x14ac:dyDescent="0.25">
      <c r="B16" s="14" t="s">
        <v>176</v>
      </c>
      <c r="C16" s="14"/>
      <c r="D16" s="14"/>
      <c r="E16" s="14"/>
      <c r="F16" s="14"/>
      <c r="G16" s="14"/>
      <c r="H16" s="14"/>
      <c r="I16" s="14"/>
    </row>
    <row r="17" spans="2:9" ht="30" x14ac:dyDescent="0.25">
      <c r="B17" s="20" t="s">
        <v>177</v>
      </c>
      <c r="C17" s="20" t="s">
        <v>170</v>
      </c>
      <c r="D17" s="20" t="s">
        <v>171</v>
      </c>
      <c r="E17" s="20" t="s">
        <v>84</v>
      </c>
      <c r="F17" s="20" t="s">
        <v>40</v>
      </c>
      <c r="G17" s="20" t="s">
        <v>65</v>
      </c>
      <c r="H17" s="20" t="s">
        <v>43</v>
      </c>
      <c r="I17" s="20" t="s">
        <v>44</v>
      </c>
    </row>
    <row r="18" spans="2:9" x14ac:dyDescent="0.25">
      <c r="B18" s="27" t="str">
        <f>'Population Data'!A18</f>
        <v>80 to 84 years</v>
      </c>
      <c r="C18" s="59">
        <f>'Population Data'!B18</f>
        <v>456</v>
      </c>
      <c r="D18" s="59">
        <f>'Population Data'!H18</f>
        <v>801.46462582300001</v>
      </c>
      <c r="E18" s="62">
        <f t="shared" ref="E18:E35" si="0">D18-C18</f>
        <v>345.46462582300001</v>
      </c>
      <c r="F18" s="22">
        <f t="shared" ref="F18:F35" si="1">(D18-C18)/C18</f>
        <v>0.75759786364692983</v>
      </c>
      <c r="G18" s="22">
        <f t="shared" ref="G18:G35" si="2">(D18/C18)^(1/6)-1</f>
        <v>9.8550229976268167E-2</v>
      </c>
      <c r="H18" s="63">
        <f>(D18/'Population Data'!$H$20-C18/'Population Data'!$B$20)*100</f>
        <v>0.7725592967563869</v>
      </c>
      <c r="I18" s="21" t="str">
        <f t="shared" ref="I18:I35" si="3">IF(F18&gt;0.1,"Growing",IF(F18&lt;-0.1,"Shrinking","Stable"))</f>
        <v>Growing</v>
      </c>
    </row>
    <row r="19" spans="2:9" x14ac:dyDescent="0.25">
      <c r="B19" s="31" t="str">
        <f>'Population Data'!A17</f>
        <v>75 to 79 years</v>
      </c>
      <c r="C19" s="57">
        <f>'Population Data'!B17</f>
        <v>984</v>
      </c>
      <c r="D19" s="57">
        <f>'Population Data'!H17</f>
        <v>1424.74742947</v>
      </c>
      <c r="E19" s="61">
        <f t="shared" si="0"/>
        <v>440.74742947000004</v>
      </c>
      <c r="F19" s="25">
        <f t="shared" si="1"/>
        <v>0.44791405433943093</v>
      </c>
      <c r="G19" s="25">
        <f t="shared" si="2"/>
        <v>6.3629720083686614E-2</v>
      </c>
      <c r="H19" s="64">
        <f>(D19/'Population Data'!$H$20-C19/'Population Data'!$B$20)*100</f>
        <v>0.96135275150865607</v>
      </c>
      <c r="I19" s="24" t="str">
        <f t="shared" si="3"/>
        <v>Growing</v>
      </c>
    </row>
    <row r="20" spans="2:9" x14ac:dyDescent="0.25">
      <c r="B20" s="27" t="str">
        <f>'Population Data'!A19</f>
        <v>85 years and over</v>
      </c>
      <c r="C20" s="59">
        <f>'Population Data'!B19</f>
        <v>352</v>
      </c>
      <c r="D20" s="59">
        <f>'Population Data'!H19</f>
        <v>486.17789322200002</v>
      </c>
      <c r="E20" s="62">
        <f t="shared" si="0"/>
        <v>134.17789322200002</v>
      </c>
      <c r="F20" s="22">
        <f t="shared" si="1"/>
        <v>0.38118719665340917</v>
      </c>
      <c r="G20" s="22">
        <f t="shared" si="2"/>
        <v>5.5298750630109028E-2</v>
      </c>
      <c r="H20" s="63">
        <f>(D20/'Population Data'!$H$20-C20/'Population Data'!$B$20)*100</f>
        <v>0.289500919966797</v>
      </c>
      <c r="I20" s="21" t="str">
        <f t="shared" si="3"/>
        <v>Growing</v>
      </c>
    </row>
    <row r="21" spans="2:9" x14ac:dyDescent="0.25">
      <c r="B21" s="31" t="str">
        <f>'Population Data'!A16</f>
        <v>70 to 74 years</v>
      </c>
      <c r="C21" s="57">
        <f>'Population Data'!B16</f>
        <v>1561</v>
      </c>
      <c r="D21" s="57">
        <f>'Population Data'!H16</f>
        <v>2107.21329565</v>
      </c>
      <c r="E21" s="61">
        <f t="shared" si="0"/>
        <v>546.21329564999996</v>
      </c>
      <c r="F21" s="25">
        <f t="shared" si="1"/>
        <v>0.34991242514413834</v>
      </c>
      <c r="G21" s="25">
        <f t="shared" si="2"/>
        <v>5.1278055828185121E-2</v>
      </c>
      <c r="H21" s="64">
        <f>(D21/'Population Data'!$H$20-C21/'Population Data'!$B$20)*100</f>
        <v>1.1707714636141815</v>
      </c>
      <c r="I21" s="24" t="str">
        <f t="shared" si="3"/>
        <v>Growing</v>
      </c>
    </row>
    <row r="22" spans="2:9" x14ac:dyDescent="0.25">
      <c r="B22" s="27" t="str">
        <f>'Population Data'!A15</f>
        <v>65 to 69 years</v>
      </c>
      <c r="C22" s="59">
        <f>'Population Data'!B15</f>
        <v>2294</v>
      </c>
      <c r="D22" s="59">
        <f>'Population Data'!H15</f>
        <v>2970.4546371000001</v>
      </c>
      <c r="E22" s="62">
        <f t="shared" si="0"/>
        <v>676.45463710000013</v>
      </c>
      <c r="F22" s="22">
        <f t="shared" si="1"/>
        <v>0.29487996386224941</v>
      </c>
      <c r="G22" s="22">
        <f t="shared" si="2"/>
        <v>4.4010624858487946E-2</v>
      </c>
      <c r="H22" s="63">
        <f>(D22/'Population Data'!$H$20-C22/'Population Data'!$B$20)*100</f>
        <v>1.4281506720149966</v>
      </c>
      <c r="I22" s="21" t="str">
        <f t="shared" si="3"/>
        <v>Growing</v>
      </c>
    </row>
    <row r="23" spans="2:9" x14ac:dyDescent="0.25">
      <c r="B23" s="31" t="str">
        <f>'Population Data'!A6</f>
        <v>20 to 24 years</v>
      </c>
      <c r="C23" s="57">
        <f>'Population Data'!B6</f>
        <v>2403</v>
      </c>
      <c r="D23" s="57">
        <f>'Population Data'!H6</f>
        <v>2799.5928982800001</v>
      </c>
      <c r="E23" s="61">
        <f t="shared" si="0"/>
        <v>396.5928982800001</v>
      </c>
      <c r="F23" s="25">
        <f t="shared" si="1"/>
        <v>0.16504074002496882</v>
      </c>
      <c r="G23" s="25">
        <f t="shared" si="2"/>
        <v>2.5786199756938855E-2</v>
      </c>
      <c r="H23" s="64">
        <f>(D23/'Population Data'!$H$20-C23/'Population Data'!$B$20)*100</f>
        <v>0.77341239974291143</v>
      </c>
      <c r="I23" s="24" t="str">
        <f t="shared" si="3"/>
        <v>Growing</v>
      </c>
    </row>
    <row r="24" spans="2:9" x14ac:dyDescent="0.25">
      <c r="B24" s="27" t="str">
        <f>'Population Data'!A7</f>
        <v>25 to 29 years</v>
      </c>
      <c r="C24" s="59">
        <f>'Population Data'!B7</f>
        <v>2434</v>
      </c>
      <c r="D24" s="59">
        <f>'Population Data'!H7</f>
        <v>2563.58417134</v>
      </c>
      <c r="E24" s="62">
        <f t="shared" si="0"/>
        <v>129.58417134000001</v>
      </c>
      <c r="F24" s="22">
        <f t="shared" si="1"/>
        <v>5.3239182966310604E-2</v>
      </c>
      <c r="G24" s="22">
        <f t="shared" si="2"/>
        <v>8.6825350493513476E-3</v>
      </c>
      <c r="H24" s="63">
        <f>(D24/'Population Data'!$H$20-C24/'Population Data'!$B$20)*100</f>
        <v>0.15315119260684851</v>
      </c>
      <c r="I24" s="21" t="str">
        <f t="shared" si="3"/>
        <v>Stable</v>
      </c>
    </row>
    <row r="25" spans="2:9" x14ac:dyDescent="0.25">
      <c r="B25" s="31" t="str">
        <f>'Population Data'!A10</f>
        <v>40 to 44 years</v>
      </c>
      <c r="C25" s="57">
        <f>'Population Data'!B10</f>
        <v>2848</v>
      </c>
      <c r="D25" s="57">
        <f>'Population Data'!H10</f>
        <v>2856.8504567999998</v>
      </c>
      <c r="E25" s="61">
        <f t="shared" si="0"/>
        <v>8.8504567999998471</v>
      </c>
      <c r="F25" s="25">
        <f t="shared" si="1"/>
        <v>3.1076042134830922E-3</v>
      </c>
      <c r="G25" s="25">
        <f t="shared" si="2"/>
        <v>5.172646672257919E-4</v>
      </c>
      <c r="H25" s="64">
        <f>(D25/'Population Data'!$H$20-C25/'Population Data'!$B$20)*100</f>
        <v>-0.15146406577720845</v>
      </c>
      <c r="I25" s="24" t="str">
        <f t="shared" si="3"/>
        <v>Stable</v>
      </c>
    </row>
    <row r="26" spans="2:9" x14ac:dyDescent="0.25">
      <c r="B26" s="27" t="str">
        <f>'Population Data'!A14</f>
        <v>60 to 64 years</v>
      </c>
      <c r="C26" s="59">
        <f>'Population Data'!B14</f>
        <v>3108</v>
      </c>
      <c r="D26" s="59">
        <f>'Population Data'!H14</f>
        <v>3077.5494288599998</v>
      </c>
      <c r="E26" s="62">
        <f t="shared" si="0"/>
        <v>-30.450571140000193</v>
      </c>
      <c r="F26" s="22">
        <f t="shared" si="1"/>
        <v>-9.7974810617761244E-3</v>
      </c>
      <c r="G26" s="22">
        <f t="shared" si="2"/>
        <v>-1.6396197174761706E-3</v>
      </c>
      <c r="H26" s="63">
        <f>(D26/'Population Data'!$H$20-C26/'Population Data'!$B$20)*100</f>
        <v>-0.25818358207897463</v>
      </c>
      <c r="I26" s="21" t="str">
        <f t="shared" si="3"/>
        <v>Stable</v>
      </c>
    </row>
    <row r="27" spans="2:9" x14ac:dyDescent="0.25">
      <c r="B27" s="31" t="str">
        <f>'Population Data'!A2</f>
        <v>Under 5 years</v>
      </c>
      <c r="C27" s="57">
        <f>'Population Data'!B2</f>
        <v>2161</v>
      </c>
      <c r="D27" s="57">
        <f>'Population Data'!H2</f>
        <v>2127.5837078999998</v>
      </c>
      <c r="E27" s="61">
        <f t="shared" si="0"/>
        <v>-33.416292100000192</v>
      </c>
      <c r="F27" s="25">
        <f t="shared" si="1"/>
        <v>-1.5463346645071815E-2</v>
      </c>
      <c r="G27" s="25">
        <f t="shared" si="2"/>
        <v>-2.5939883110988049E-3</v>
      </c>
      <c r="H27" s="64">
        <f>(D27/'Population Data'!$H$20-C27/'Population Data'!$B$20)*100</f>
        <v>-0.20787250325328063</v>
      </c>
      <c r="I27" s="24" t="str">
        <f t="shared" si="3"/>
        <v>Stable</v>
      </c>
    </row>
    <row r="28" spans="2:9" x14ac:dyDescent="0.25">
      <c r="B28" s="27" t="str">
        <f>'Population Data'!A9</f>
        <v>35 to 39 years</v>
      </c>
      <c r="C28" s="59">
        <f>'Population Data'!B9</f>
        <v>2607</v>
      </c>
      <c r="D28" s="59">
        <f>'Population Data'!H9</f>
        <v>2543.5322847399998</v>
      </c>
      <c r="E28" s="62">
        <f t="shared" si="0"/>
        <v>-63.467715260000205</v>
      </c>
      <c r="F28" s="22">
        <f t="shared" si="1"/>
        <v>-2.4345115174530189E-2</v>
      </c>
      <c r="G28" s="22">
        <f t="shared" si="2"/>
        <v>-4.0993009521201884E-3</v>
      </c>
      <c r="H28" s="63">
        <f>(D28/'Population Data'!$H$20-C28/'Population Data'!$B$20)*100</f>
        <v>-0.30440067138244531</v>
      </c>
      <c r="I28" s="21" t="str">
        <f t="shared" si="3"/>
        <v>Stable</v>
      </c>
    </row>
    <row r="29" spans="2:9" x14ac:dyDescent="0.25">
      <c r="B29" s="31" t="str">
        <f>'Population Data'!A13</f>
        <v>55 to 59 years</v>
      </c>
      <c r="C29" s="57">
        <f>'Population Data'!B13</f>
        <v>3250</v>
      </c>
      <c r="D29" s="57">
        <f>'Population Data'!H13</f>
        <v>3166.65471716</v>
      </c>
      <c r="E29" s="61">
        <f t="shared" si="0"/>
        <v>-83.345282839999982</v>
      </c>
      <c r="F29" s="25">
        <f t="shared" si="1"/>
        <v>-2.5644702412307686E-2</v>
      </c>
      <c r="G29" s="25">
        <f t="shared" si="2"/>
        <v>-4.3205162552043541E-3</v>
      </c>
      <c r="H29" s="64">
        <f>(D29/'Population Data'!$H$20-C29/'Population Data'!$B$20)*100</f>
        <v>-0.38926111375201938</v>
      </c>
      <c r="I29" s="24" t="str">
        <f t="shared" si="3"/>
        <v>Stable</v>
      </c>
    </row>
    <row r="30" spans="2:9" x14ac:dyDescent="0.25">
      <c r="B30" s="27" t="str">
        <f>'Population Data'!A12</f>
        <v>50 to 54 years</v>
      </c>
      <c r="C30" s="59">
        <f>'Population Data'!B12</f>
        <v>3156</v>
      </c>
      <c r="D30" s="59">
        <f>'Population Data'!H12</f>
        <v>3068.1956258199998</v>
      </c>
      <c r="E30" s="62">
        <f t="shared" si="0"/>
        <v>-87.804374180000195</v>
      </c>
      <c r="F30" s="22">
        <f t="shared" si="1"/>
        <v>-2.7821411337135678E-2</v>
      </c>
      <c r="G30" s="22">
        <f t="shared" si="2"/>
        <v>-4.6915863328432783E-3</v>
      </c>
      <c r="H30" s="63">
        <f>(D30/'Population Data'!$H$20-C30/'Population Data'!$B$20)*100</f>
        <v>-0.39391262298410779</v>
      </c>
      <c r="I30" s="21" t="str">
        <f t="shared" si="3"/>
        <v>Stable</v>
      </c>
    </row>
    <row r="31" spans="2:9" x14ac:dyDescent="0.25">
      <c r="B31" s="31" t="str">
        <f>'Population Data'!A5</f>
        <v>15 to 19 years</v>
      </c>
      <c r="C31" s="57">
        <f>'Population Data'!B5</f>
        <v>3052</v>
      </c>
      <c r="D31" s="57">
        <f>'Population Data'!H5</f>
        <v>2934.14271702</v>
      </c>
      <c r="E31" s="61">
        <f t="shared" si="0"/>
        <v>-117.85728298000004</v>
      </c>
      <c r="F31" s="25">
        <f t="shared" si="1"/>
        <v>-3.8616409888597651E-2</v>
      </c>
      <c r="G31" s="25">
        <f t="shared" si="2"/>
        <v>-6.5421384863987297E-3</v>
      </c>
      <c r="H31" s="64">
        <f>(D31/'Population Data'!$H$20-C31/'Population Data'!$B$20)*100</f>
        <v>-0.45723534932338578</v>
      </c>
      <c r="I31" s="24" t="str">
        <f t="shared" si="3"/>
        <v>Stable</v>
      </c>
    </row>
    <row r="32" spans="2:9" x14ac:dyDescent="0.25">
      <c r="B32" s="27" t="str">
        <f>'Population Data'!A11</f>
        <v>45 to 49 years</v>
      </c>
      <c r="C32" s="59">
        <f>'Population Data'!B11</f>
        <v>3110</v>
      </c>
      <c r="D32" s="59">
        <f>'Population Data'!H11</f>
        <v>2988.0737219799998</v>
      </c>
      <c r="E32" s="62">
        <f t="shared" si="0"/>
        <v>-121.92627802000015</v>
      </c>
      <c r="F32" s="22">
        <f t="shared" si="1"/>
        <v>-3.920459100321548E-2</v>
      </c>
      <c r="G32" s="22">
        <f t="shared" si="2"/>
        <v>-6.6434650487926517E-3</v>
      </c>
      <c r="H32" s="63">
        <f>(D32/'Population Data'!$H$20-C32/'Population Data'!$B$20)*100</f>
        <v>-0.47016112711493335</v>
      </c>
      <c r="I32" s="21" t="str">
        <f t="shared" si="3"/>
        <v>Stable</v>
      </c>
    </row>
    <row r="33" spans="2:9" x14ac:dyDescent="0.25">
      <c r="B33" s="31" t="str">
        <f>'Population Data'!A8</f>
        <v>30 to 34 years</v>
      </c>
      <c r="C33" s="57">
        <f>'Population Data'!B8</f>
        <v>2426</v>
      </c>
      <c r="D33" s="57">
        <f>'Population Data'!H8</f>
        <v>2275.8538023199999</v>
      </c>
      <c r="E33" s="61">
        <f t="shared" si="0"/>
        <v>-150.14619768000011</v>
      </c>
      <c r="F33" s="25">
        <f t="shared" si="1"/>
        <v>-6.1890435976916784E-2</v>
      </c>
      <c r="G33" s="25">
        <f t="shared" si="2"/>
        <v>-1.0591598255119905E-2</v>
      </c>
      <c r="H33" s="64">
        <f>(D33/'Population Data'!$H$20-C33/'Population Data'!$B$20)*100</f>
        <v>-0.4942183935670551</v>
      </c>
      <c r="I33" s="24" t="str">
        <f t="shared" si="3"/>
        <v>Stable</v>
      </c>
    </row>
    <row r="34" spans="2:9" x14ac:dyDescent="0.25">
      <c r="B34" s="27" t="str">
        <f>'Population Data'!A4</f>
        <v>10 to 14 years</v>
      </c>
      <c r="C34" s="59">
        <f>'Population Data'!B4</f>
        <v>3202</v>
      </c>
      <c r="D34" s="59">
        <f>'Population Data'!H4</f>
        <v>2727.14361199</v>
      </c>
      <c r="E34" s="62">
        <f t="shared" si="0"/>
        <v>-474.85638801000005</v>
      </c>
      <c r="F34" s="22">
        <f t="shared" si="1"/>
        <v>-0.14829993379450346</v>
      </c>
      <c r="G34" s="22">
        <f t="shared" si="2"/>
        <v>-2.6398770869601629E-2</v>
      </c>
      <c r="H34" s="63">
        <f>(D34/'Population Data'!$H$20-C34/'Population Data'!$B$20)*100</f>
        <v>-1.2930985304785327</v>
      </c>
      <c r="I34" s="21" t="str">
        <f t="shared" si="3"/>
        <v>Shrinking</v>
      </c>
    </row>
    <row r="35" spans="2:9" x14ac:dyDescent="0.25">
      <c r="B35" s="31" t="str">
        <f>'Population Data'!A3</f>
        <v>5 to 9 years</v>
      </c>
      <c r="C35" s="57">
        <f>'Population Data'!B3</f>
        <v>2677</v>
      </c>
      <c r="D35" s="57">
        <f>'Population Data'!H3</f>
        <v>2259.2718505299999</v>
      </c>
      <c r="E35" s="61">
        <f t="shared" si="0"/>
        <v>-417.72814947000006</v>
      </c>
      <c r="F35" s="25">
        <f t="shared" si="1"/>
        <v>-0.1560433879230482</v>
      </c>
      <c r="G35" s="25">
        <f t="shared" si="2"/>
        <v>-2.7879682617176993E-2</v>
      </c>
      <c r="H35" s="64">
        <f>(D35/'Population Data'!$H$20-C35/'Population Data'!$B$20)*100</f>
        <v>-1.1290907364988203</v>
      </c>
      <c r="I35" s="24" t="str">
        <f t="shared" si="3"/>
        <v>Shrinking</v>
      </c>
    </row>
    <row r="37" spans="2:9" ht="19.5" customHeight="1" x14ac:dyDescent="0.25">
      <c r="B37" s="14" t="s">
        <v>67</v>
      </c>
      <c r="C37" s="14"/>
      <c r="D37" s="14"/>
      <c r="E37" s="14"/>
      <c r="F37" s="14"/>
      <c r="G37" s="14"/>
      <c r="H37" s="14"/>
      <c r="I37" s="14"/>
    </row>
    <row r="39" spans="2:9" ht="66" customHeight="1" x14ac:dyDescent="0.25">
      <c r="B39" s="13" t="s">
        <v>178</v>
      </c>
      <c r="C39" s="13"/>
      <c r="D39" s="13"/>
      <c r="E39" s="13"/>
      <c r="F39" s="13"/>
      <c r="G39" s="13"/>
      <c r="H39" s="13"/>
      <c r="I39" s="13"/>
    </row>
    <row r="40" spans="2:9" ht="6" customHeight="1" x14ac:dyDescent="0.25">
      <c r="B40" s="13"/>
      <c r="C40" s="13"/>
      <c r="D40" s="13"/>
      <c r="E40" s="13"/>
      <c r="F40" s="13"/>
      <c r="G40" s="13"/>
      <c r="H40" s="13"/>
      <c r="I40" s="13"/>
    </row>
    <row r="41" spans="2:9" ht="66" customHeight="1" x14ac:dyDescent="0.25">
      <c r="B41" s="13" t="s">
        <v>179</v>
      </c>
      <c r="C41" s="13"/>
      <c r="D41" s="13"/>
      <c r="E41" s="13"/>
      <c r="F41" s="13"/>
      <c r="G41" s="13"/>
      <c r="H41" s="13"/>
      <c r="I41" s="13"/>
    </row>
    <row r="42" spans="2:9" ht="6" customHeight="1" x14ac:dyDescent="0.25">
      <c r="B42" s="13"/>
      <c r="C42" s="13"/>
      <c r="D42" s="13"/>
      <c r="E42" s="13"/>
      <c r="F42" s="13"/>
      <c r="G42" s="13"/>
      <c r="H42" s="13"/>
      <c r="I42" s="13"/>
    </row>
    <row r="43" spans="2:9" ht="66" customHeight="1" x14ac:dyDescent="0.25">
      <c r="B43" s="13" t="s">
        <v>180</v>
      </c>
      <c r="C43" s="13"/>
      <c r="D43" s="13"/>
      <c r="E43" s="13"/>
      <c r="F43" s="13"/>
      <c r="G43" s="13"/>
      <c r="H43" s="13"/>
      <c r="I43" s="13"/>
    </row>
    <row r="44" spans="2:9" ht="6" customHeight="1" x14ac:dyDescent="0.25">
      <c r="B44" s="13"/>
      <c r="C44" s="13"/>
      <c r="D44" s="13"/>
      <c r="E44" s="13"/>
      <c r="F44" s="13"/>
      <c r="G44" s="13"/>
      <c r="H44" s="13"/>
      <c r="I44" s="13"/>
    </row>
    <row r="45" spans="2:9" ht="66" customHeight="1" x14ac:dyDescent="0.25">
      <c r="B45" s="13" t="s">
        <v>181</v>
      </c>
      <c r="C45" s="13"/>
      <c r="D45" s="13"/>
      <c r="E45" s="13"/>
      <c r="F45" s="13"/>
      <c r="G45" s="13"/>
      <c r="H45" s="13"/>
      <c r="I45" s="13"/>
    </row>
    <row r="46" spans="2:9" ht="6" customHeight="1" x14ac:dyDescent="0.25">
      <c r="B46" s="13"/>
      <c r="C46" s="13"/>
      <c r="D46" s="13"/>
      <c r="E46" s="13"/>
      <c r="F46" s="13"/>
      <c r="G46" s="13"/>
      <c r="H46" s="13"/>
      <c r="I46" s="13"/>
    </row>
    <row r="47" spans="2:9" ht="66" customHeight="1" x14ac:dyDescent="0.25">
      <c r="B47" s="13" t="s">
        <v>182</v>
      </c>
      <c r="C47" s="13"/>
      <c r="D47" s="13"/>
      <c r="E47" s="13"/>
      <c r="F47" s="13"/>
      <c r="G47" s="13"/>
      <c r="H47" s="13"/>
      <c r="I47" s="13"/>
    </row>
    <row r="48" spans="2:9" ht="6" customHeight="1" x14ac:dyDescent="0.25">
      <c r="B48" s="13"/>
      <c r="C48" s="13"/>
      <c r="D48" s="13"/>
      <c r="E48" s="13"/>
      <c r="F48" s="13"/>
      <c r="G48" s="13"/>
      <c r="H48" s="13"/>
      <c r="I48" s="13"/>
    </row>
    <row r="49" spans="2:9" ht="66" customHeight="1" x14ac:dyDescent="0.25">
      <c r="B49" s="13" t="s">
        <v>183</v>
      </c>
      <c r="C49" s="13"/>
      <c r="D49" s="13"/>
      <c r="E49" s="13"/>
      <c r="F49" s="13"/>
      <c r="G49" s="13"/>
      <c r="H49" s="13"/>
      <c r="I49" s="13"/>
    </row>
    <row r="51" spans="2:9" ht="30" customHeight="1" x14ac:dyDescent="0.25">
      <c r="B51" s="12" t="s">
        <v>184</v>
      </c>
      <c r="C51" s="12"/>
      <c r="D51" s="12"/>
      <c r="E51" s="12"/>
      <c r="F51" s="12"/>
      <c r="G51" s="12"/>
      <c r="H51" s="12"/>
      <c r="I51" s="12"/>
    </row>
    <row r="52" spans="2:9" ht="30" customHeight="1" x14ac:dyDescent="0.25">
      <c r="B52" s="12" t="s">
        <v>185</v>
      </c>
      <c r="C52" s="12"/>
      <c r="D52" s="12"/>
      <c r="E52" s="12"/>
      <c r="F52" s="12"/>
      <c r="G52" s="12"/>
      <c r="H52" s="12"/>
      <c r="I52" s="12"/>
    </row>
  </sheetData>
  <mergeCells count="25">
    <mergeCell ref="B47:I47"/>
    <mergeCell ref="B48:I48"/>
    <mergeCell ref="B49:I49"/>
    <mergeCell ref="B51:I51"/>
    <mergeCell ref="B52:I52"/>
    <mergeCell ref="B42:I42"/>
    <mergeCell ref="B43:I43"/>
    <mergeCell ref="B44:I44"/>
    <mergeCell ref="B45:I45"/>
    <mergeCell ref="B46:I46"/>
    <mergeCell ref="B16:I16"/>
    <mergeCell ref="B37:I37"/>
    <mergeCell ref="B39:I39"/>
    <mergeCell ref="B40:I40"/>
    <mergeCell ref="B41:I41"/>
    <mergeCell ref="B6:C6"/>
    <mergeCell ref="D6:E6"/>
    <mergeCell ref="F6:G6"/>
    <mergeCell ref="H6:I6"/>
    <mergeCell ref="B9:I9"/>
    <mergeCell ref="B4:I4"/>
    <mergeCell ref="B5:C5"/>
    <mergeCell ref="D5:E5"/>
    <mergeCell ref="F5:G5"/>
    <mergeCell ref="H5:I5"/>
  </mergeCells>
  <conditionalFormatting sqref="F18:F35">
    <cfRule type="colorScale" priority="3">
      <colorScale>
        <cfvo type="min"/>
        <cfvo type="num" val="0"/>
        <cfvo type="max"/>
        <color rgb="FFF8696B"/>
        <color rgb="FFFFFFFF"/>
        <color rgb="FF63BE7B"/>
      </colorScale>
    </cfRule>
  </conditionalFormatting>
  <conditionalFormatting sqref="H11:H14">
    <cfRule type="colorScale" priority="2">
      <colorScale>
        <cfvo type="min"/>
        <cfvo type="num" val="0"/>
        <cfvo type="max"/>
        <color rgb="FFF8696B"/>
        <color rgb="FFFFFFFF"/>
        <color rgb="FF63BE7B"/>
      </colorScale>
    </cfRule>
  </conditionalFormatting>
  <conditionalFormatting sqref="I18:I35">
    <cfRule type="cellIs" dxfId="1" priority="4" operator="equal">
      <formula>"Growing"</formula>
    </cfRule>
    <cfRule type="cellIs" dxfId="0" priority="5" operator="equal">
      <formula>"Shrinking"</formula>
    </cfRule>
  </conditionalFormatting>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9"/>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8.7109375" defaultRowHeight="15" x14ac:dyDescent="0.25"/>
  <cols>
    <col min="1" max="1" width="20" customWidth="1"/>
    <col min="2" max="8" width="13" customWidth="1"/>
  </cols>
  <sheetData>
    <row r="1" spans="1:8" ht="15" customHeight="1" x14ac:dyDescent="0.25">
      <c r="A1" s="55" t="s">
        <v>186</v>
      </c>
      <c r="B1" s="55" t="s">
        <v>16</v>
      </c>
      <c r="C1" s="55" t="s">
        <v>17</v>
      </c>
      <c r="D1" s="55" t="s">
        <v>18</v>
      </c>
      <c r="E1" s="55" t="s">
        <v>19</v>
      </c>
      <c r="F1" s="55" t="s">
        <v>20</v>
      </c>
      <c r="G1" s="55" t="s">
        <v>21</v>
      </c>
      <c r="H1" s="55" t="s">
        <v>22</v>
      </c>
    </row>
    <row r="2" spans="1:8" ht="15" customHeight="1" x14ac:dyDescent="0.25">
      <c r="A2" s="65" t="s">
        <v>5</v>
      </c>
      <c r="B2" s="66">
        <v>4.4999999999999998E-2</v>
      </c>
      <c r="C2" s="66">
        <v>4.3999999999999997E-2</v>
      </c>
      <c r="D2" s="66">
        <v>4.2999999999999997E-2</v>
      </c>
      <c r="E2" s="66">
        <v>4.3999999999999997E-2</v>
      </c>
      <c r="F2" s="66">
        <v>4.2999999999999997E-2</v>
      </c>
      <c r="G2" s="66">
        <v>4.2999999999999997E-2</v>
      </c>
      <c r="H2" s="66">
        <v>4.2999999999999997E-2</v>
      </c>
    </row>
    <row r="3" spans="1:8" ht="15" customHeight="1" x14ac:dyDescent="0.25">
      <c r="A3" s="65" t="s">
        <v>4</v>
      </c>
      <c r="B3" s="66">
        <v>3.6999999999999998E-2</v>
      </c>
      <c r="C3" s="66">
        <v>3.6999999999999998E-2</v>
      </c>
      <c r="D3" s="66">
        <v>3.7999999999999999E-2</v>
      </c>
      <c r="E3" s="66">
        <v>3.7999999999999999E-2</v>
      </c>
      <c r="F3" s="66">
        <v>3.7999999999999999E-2</v>
      </c>
      <c r="G3" s="66">
        <v>3.7999999999999999E-2</v>
      </c>
      <c r="H3" s="66">
        <v>3.6999999999999998E-2</v>
      </c>
    </row>
    <row r="4" spans="1:8" ht="15" customHeight="1" x14ac:dyDescent="0.25">
      <c r="A4" s="67" t="s">
        <v>187</v>
      </c>
      <c r="B4" s="68">
        <v>3.2000000000000001E-2</v>
      </c>
      <c r="C4" s="68">
        <v>3.2051000000000003E-2</v>
      </c>
      <c r="D4" s="68">
        <v>3.1671999999999999E-2</v>
      </c>
      <c r="E4" s="68">
        <v>3.1E-2</v>
      </c>
      <c r="F4" s="68">
        <v>3.2000000000000001E-2</v>
      </c>
      <c r="G4" s="68">
        <v>3.2000000000000001E-2</v>
      </c>
      <c r="H4" s="68">
        <v>3.1E-2</v>
      </c>
    </row>
    <row r="5" spans="1:8" ht="15" customHeight="1" x14ac:dyDescent="0.25">
      <c r="A5" s="67" t="s">
        <v>188</v>
      </c>
      <c r="B5" s="68">
        <v>3.6999999999999998E-2</v>
      </c>
      <c r="C5" s="68">
        <v>3.7676000000000001E-2</v>
      </c>
      <c r="D5" s="68">
        <v>3.7509000000000001E-2</v>
      </c>
      <c r="E5" s="68">
        <v>3.6999999999999998E-2</v>
      </c>
      <c r="F5" s="68">
        <v>3.5999999999999997E-2</v>
      </c>
      <c r="G5" s="68">
        <v>3.5999999999999997E-2</v>
      </c>
      <c r="H5" s="68">
        <v>3.5000000000000003E-2</v>
      </c>
    </row>
    <row r="6" spans="1:8" ht="15" customHeight="1" x14ac:dyDescent="0.25">
      <c r="A6" s="67" t="s">
        <v>189</v>
      </c>
      <c r="B6" s="68">
        <v>3.4000000000000002E-2</v>
      </c>
      <c r="C6" s="68">
        <v>3.4035999999999997E-2</v>
      </c>
      <c r="D6" s="68">
        <v>3.3921E-2</v>
      </c>
      <c r="E6" s="68">
        <v>3.4000000000000002E-2</v>
      </c>
      <c r="F6" s="68">
        <v>3.3000000000000002E-2</v>
      </c>
      <c r="G6" s="68">
        <v>3.2000000000000001E-2</v>
      </c>
      <c r="H6" s="68">
        <v>3.1E-2</v>
      </c>
    </row>
    <row r="7" spans="1:8" ht="15" customHeight="1" x14ac:dyDescent="0.25">
      <c r="A7" s="67" t="s">
        <v>190</v>
      </c>
      <c r="B7" s="68">
        <v>5.2999999999999999E-2</v>
      </c>
      <c r="C7" s="68">
        <v>5.4697000000000003E-2</v>
      </c>
      <c r="D7" s="68">
        <v>5.6043999999999997E-2</v>
      </c>
      <c r="E7" s="68">
        <v>5.7000000000000002E-2</v>
      </c>
      <c r="F7" s="68">
        <v>5.6000000000000001E-2</v>
      </c>
      <c r="G7" s="68">
        <v>5.3999999999999999E-2</v>
      </c>
      <c r="H7" s="68">
        <v>5.2999999999999999E-2</v>
      </c>
    </row>
    <row r="8" spans="1:8" ht="15" customHeight="1" x14ac:dyDescent="0.25">
      <c r="A8" s="67" t="s">
        <v>191</v>
      </c>
      <c r="B8" s="68">
        <v>3.6999999999999998E-2</v>
      </c>
      <c r="C8" s="68">
        <v>3.8961000000000003E-2</v>
      </c>
      <c r="D8" s="68">
        <v>3.9106000000000002E-2</v>
      </c>
      <c r="E8" s="68">
        <v>4.1000000000000002E-2</v>
      </c>
      <c r="F8" s="68">
        <v>3.7999999999999999E-2</v>
      </c>
      <c r="G8" s="68">
        <v>3.7999999999999999E-2</v>
      </c>
      <c r="H8" s="68">
        <v>3.9E-2</v>
      </c>
    </row>
    <row r="9" spans="1:8" ht="15" customHeight="1" x14ac:dyDescent="0.25">
      <c r="A9" s="67" t="s">
        <v>192</v>
      </c>
      <c r="B9" s="68">
        <v>3.5999999999999997E-2</v>
      </c>
      <c r="C9" s="68">
        <v>3.5945999999999999E-2</v>
      </c>
      <c r="D9" s="68">
        <v>3.6027999999999998E-2</v>
      </c>
      <c r="E9" s="68">
        <v>3.5999999999999997E-2</v>
      </c>
      <c r="F9" s="68">
        <v>3.5000000000000003E-2</v>
      </c>
      <c r="G9" s="68">
        <v>3.4000000000000002E-2</v>
      </c>
      <c r="H9" s="68">
        <v>3.4000000000000002E-2</v>
      </c>
    </row>
    <row r="10" spans="1:8" ht="15" customHeight="1" x14ac:dyDescent="0.25">
      <c r="A10" s="67" t="s">
        <v>193</v>
      </c>
      <c r="B10" s="68">
        <v>4.2999999999999997E-2</v>
      </c>
      <c r="C10" s="68">
        <v>4.2583000000000003E-2</v>
      </c>
      <c r="D10" s="68">
        <v>4.2254E-2</v>
      </c>
      <c r="E10" s="68">
        <v>4.2000000000000003E-2</v>
      </c>
      <c r="F10" s="68">
        <v>0.04</v>
      </c>
      <c r="G10" s="68">
        <v>3.9E-2</v>
      </c>
      <c r="H10" s="68">
        <v>3.7999999999999999E-2</v>
      </c>
    </row>
    <row r="11" spans="1:8" ht="15" customHeight="1" x14ac:dyDescent="0.25">
      <c r="A11" s="67" t="s">
        <v>194</v>
      </c>
      <c r="B11" s="68">
        <v>4.7E-2</v>
      </c>
      <c r="C11" s="68">
        <v>4.7525999999999999E-2</v>
      </c>
      <c r="D11" s="68">
        <v>4.7566999999999998E-2</v>
      </c>
      <c r="E11" s="68">
        <v>4.7E-2</v>
      </c>
      <c r="F11" s="68">
        <v>4.8000000000000001E-2</v>
      </c>
      <c r="G11" s="68">
        <v>4.7E-2</v>
      </c>
      <c r="H11" s="68">
        <v>4.5999999999999999E-2</v>
      </c>
    </row>
    <row r="12" spans="1:8" ht="15" customHeight="1" x14ac:dyDescent="0.25">
      <c r="A12" s="67" t="s">
        <v>195</v>
      </c>
      <c r="B12" s="68">
        <v>8.1000000000000003E-2</v>
      </c>
      <c r="C12" s="68">
        <v>7.9378000000000004E-2</v>
      </c>
      <c r="D12" s="68">
        <v>7.8392000000000003E-2</v>
      </c>
      <c r="E12" s="68">
        <v>7.8E-2</v>
      </c>
      <c r="F12" s="68">
        <v>7.5999999999999998E-2</v>
      </c>
      <c r="G12" s="68">
        <v>7.6999999999999999E-2</v>
      </c>
      <c r="H12" s="68">
        <v>7.8E-2</v>
      </c>
    </row>
    <row r="13" spans="1:8" ht="15" customHeight="1" x14ac:dyDescent="0.25">
      <c r="A13" s="67" t="s">
        <v>196</v>
      </c>
      <c r="B13" s="68">
        <v>4.5999999999999999E-2</v>
      </c>
      <c r="C13" s="68">
        <v>4.5876E-2</v>
      </c>
      <c r="D13" s="68">
        <v>4.5712999999999997E-2</v>
      </c>
      <c r="E13" s="68">
        <v>4.5999999999999999E-2</v>
      </c>
      <c r="F13" s="68">
        <v>4.2999999999999997E-2</v>
      </c>
      <c r="G13" s="68">
        <v>4.2999999999999997E-2</v>
      </c>
      <c r="H13" s="68">
        <v>4.2999999999999997E-2</v>
      </c>
    </row>
    <row r="14" spans="1:8" ht="15" customHeight="1" x14ac:dyDescent="0.25">
      <c r="A14" s="67" t="s">
        <v>197</v>
      </c>
      <c r="B14" s="68">
        <v>3.4000000000000002E-2</v>
      </c>
      <c r="C14" s="68">
        <v>3.4342999999999999E-2</v>
      </c>
      <c r="D14" s="68">
        <v>3.3862000000000003E-2</v>
      </c>
      <c r="E14" s="68">
        <v>3.3000000000000002E-2</v>
      </c>
      <c r="F14" s="68">
        <v>3.2000000000000001E-2</v>
      </c>
      <c r="G14" s="68">
        <v>3.2000000000000001E-2</v>
      </c>
      <c r="H14" s="68">
        <v>3.1E-2</v>
      </c>
    </row>
    <row r="15" spans="1:8" ht="15" customHeight="1" x14ac:dyDescent="0.25">
      <c r="A15" s="67" t="s">
        <v>198</v>
      </c>
      <c r="B15" s="68">
        <v>3.9E-2</v>
      </c>
      <c r="C15" s="68">
        <v>3.9488000000000002E-2</v>
      </c>
      <c r="D15" s="68">
        <v>3.9225000000000003E-2</v>
      </c>
      <c r="E15" s="68">
        <v>3.9E-2</v>
      </c>
      <c r="F15" s="68">
        <v>3.7999999999999999E-2</v>
      </c>
      <c r="G15" s="68">
        <v>3.6999999999999998E-2</v>
      </c>
      <c r="H15" s="68">
        <v>3.5999999999999997E-2</v>
      </c>
    </row>
    <row r="16" spans="1:8" ht="15" customHeight="1" x14ac:dyDescent="0.25">
      <c r="A16" s="67" t="s">
        <v>199</v>
      </c>
      <c r="B16" s="68">
        <v>4.1000000000000002E-2</v>
      </c>
      <c r="C16" s="68">
        <v>4.1001000000000003E-2</v>
      </c>
      <c r="D16" s="68">
        <v>4.0516000000000003E-2</v>
      </c>
      <c r="E16" s="68">
        <v>0.04</v>
      </c>
      <c r="F16" s="68">
        <v>3.9E-2</v>
      </c>
      <c r="G16" s="68">
        <v>3.7999999999999999E-2</v>
      </c>
      <c r="H16" s="68">
        <v>3.7999999999999999E-2</v>
      </c>
    </row>
    <row r="17" spans="1:8" ht="15" customHeight="1" x14ac:dyDescent="0.25">
      <c r="A17" s="67" t="s">
        <v>200</v>
      </c>
      <c r="B17" s="68">
        <v>3.7999999999999999E-2</v>
      </c>
      <c r="C17" s="68">
        <v>3.8292E-2</v>
      </c>
      <c r="D17" s="68">
        <v>3.8425000000000001E-2</v>
      </c>
      <c r="E17" s="68">
        <v>3.7999999999999999E-2</v>
      </c>
      <c r="F17" s="68">
        <v>3.7999999999999999E-2</v>
      </c>
      <c r="G17" s="68">
        <v>3.6999999999999998E-2</v>
      </c>
      <c r="H17" s="68">
        <v>3.6999999999999998E-2</v>
      </c>
    </row>
    <row r="18" spans="1:8" ht="15" customHeight="1" x14ac:dyDescent="0.25">
      <c r="A18" s="67" t="s">
        <v>201</v>
      </c>
      <c r="B18" s="68">
        <v>3.5000000000000003E-2</v>
      </c>
      <c r="C18" s="68">
        <v>3.5449000000000001E-2</v>
      </c>
      <c r="D18" s="68">
        <v>3.4797000000000002E-2</v>
      </c>
      <c r="E18" s="68">
        <v>3.4000000000000002E-2</v>
      </c>
      <c r="F18" s="68">
        <v>3.3000000000000002E-2</v>
      </c>
      <c r="G18" s="68">
        <v>3.2000000000000001E-2</v>
      </c>
      <c r="H18" s="68">
        <v>3.1E-2</v>
      </c>
    </row>
    <row r="19" spans="1:8" ht="15" customHeight="1" x14ac:dyDescent="0.25">
      <c r="A19" s="67" t="s">
        <v>202</v>
      </c>
      <c r="B19" s="68">
        <v>6.5000000000000002E-2</v>
      </c>
      <c r="C19" s="68">
        <v>6.2744999999999995E-2</v>
      </c>
      <c r="D19" s="68">
        <v>6.0783999999999998E-2</v>
      </c>
      <c r="E19" s="68">
        <v>5.8999999999999997E-2</v>
      </c>
      <c r="F19" s="68">
        <v>5.8000000000000003E-2</v>
      </c>
      <c r="G19" s="68">
        <v>5.8000000000000003E-2</v>
      </c>
      <c r="H19" s="68">
        <v>5.7000000000000002E-2</v>
      </c>
    </row>
    <row r="20" spans="1:8" ht="15" customHeight="1" x14ac:dyDescent="0.25">
      <c r="A20" s="67" t="s">
        <v>203</v>
      </c>
      <c r="B20" s="68">
        <v>3.5999999999999997E-2</v>
      </c>
      <c r="C20" s="68">
        <v>3.5771999999999998E-2</v>
      </c>
      <c r="D20" s="68">
        <v>3.5045E-2</v>
      </c>
      <c r="E20" s="68">
        <v>3.4000000000000002E-2</v>
      </c>
      <c r="F20" s="68">
        <v>3.3000000000000002E-2</v>
      </c>
      <c r="G20" s="68">
        <v>3.4000000000000002E-2</v>
      </c>
      <c r="H20" s="68">
        <v>3.3000000000000002E-2</v>
      </c>
    </row>
    <row r="21" spans="1:8" ht="15" customHeight="1" x14ac:dyDescent="0.25">
      <c r="A21" s="67" t="s">
        <v>204</v>
      </c>
      <c r="B21" s="68">
        <v>3.7999999999999999E-2</v>
      </c>
      <c r="C21" s="68">
        <v>3.8330999999999997E-2</v>
      </c>
      <c r="D21" s="68">
        <v>3.8161E-2</v>
      </c>
      <c r="E21" s="68">
        <v>3.7999999999999999E-2</v>
      </c>
      <c r="F21" s="68">
        <v>3.6999999999999998E-2</v>
      </c>
      <c r="G21" s="68">
        <v>3.5999999999999997E-2</v>
      </c>
      <c r="H21" s="68">
        <v>3.5999999999999997E-2</v>
      </c>
    </row>
    <row r="22" spans="1:8" ht="15" customHeight="1" x14ac:dyDescent="0.25">
      <c r="A22" s="67" t="s">
        <v>205</v>
      </c>
      <c r="B22" s="68">
        <v>4.8000000000000001E-2</v>
      </c>
      <c r="C22" s="68">
        <v>4.7695000000000001E-2</v>
      </c>
      <c r="D22" s="68">
        <v>4.7453000000000002E-2</v>
      </c>
      <c r="E22" s="68">
        <v>4.7E-2</v>
      </c>
      <c r="F22" s="68">
        <v>4.5999999999999999E-2</v>
      </c>
      <c r="G22" s="68">
        <v>4.4999999999999998E-2</v>
      </c>
      <c r="H22" s="68">
        <v>4.4999999999999998E-2</v>
      </c>
    </row>
    <row r="23" spans="1:8" ht="15" customHeight="1" x14ac:dyDescent="0.25">
      <c r="A23" s="67" t="s">
        <v>206</v>
      </c>
      <c r="B23" s="68">
        <v>0.04</v>
      </c>
      <c r="C23" s="68">
        <v>4.0695000000000002E-2</v>
      </c>
      <c r="D23" s="68">
        <v>4.0682000000000003E-2</v>
      </c>
      <c r="E23" s="68">
        <v>0.04</v>
      </c>
      <c r="F23" s="68">
        <v>4.1000000000000002E-2</v>
      </c>
      <c r="G23" s="68">
        <v>3.9E-2</v>
      </c>
      <c r="H23" s="68">
        <v>3.9E-2</v>
      </c>
    </row>
    <row r="24" spans="1:8" ht="15" customHeight="1" x14ac:dyDescent="0.25">
      <c r="A24" s="67" t="s">
        <v>207</v>
      </c>
      <c r="B24" s="68">
        <v>4.5999999999999999E-2</v>
      </c>
      <c r="C24" s="68">
        <v>4.5386999999999997E-2</v>
      </c>
      <c r="D24" s="68">
        <v>4.4942999999999997E-2</v>
      </c>
      <c r="E24" s="68">
        <v>4.3999999999999997E-2</v>
      </c>
      <c r="F24" s="68">
        <v>4.2999999999999997E-2</v>
      </c>
      <c r="G24" s="68">
        <v>4.2999999999999997E-2</v>
      </c>
      <c r="H24" s="68">
        <v>4.2000000000000003E-2</v>
      </c>
    </row>
    <row r="25" spans="1:8" ht="15" customHeight="1" x14ac:dyDescent="0.25">
      <c r="A25" s="69" t="s">
        <v>3</v>
      </c>
      <c r="B25" s="70">
        <v>3.1E-2</v>
      </c>
      <c r="C25" s="70">
        <v>3.1604E-2</v>
      </c>
      <c r="D25" s="70">
        <v>3.2009000000000003E-2</v>
      </c>
      <c r="E25" s="70">
        <v>3.3000000000000002E-2</v>
      </c>
      <c r="F25" s="70">
        <v>3.5999999999999997E-2</v>
      </c>
      <c r="G25" s="70">
        <v>3.1E-2</v>
      </c>
      <c r="H25" s="70">
        <v>3.1E-2</v>
      </c>
    </row>
    <row r="26" spans="1:8" ht="15" customHeight="1" x14ac:dyDescent="0.25">
      <c r="A26" s="67" t="s">
        <v>208</v>
      </c>
      <c r="B26" s="68">
        <v>4.1000000000000002E-2</v>
      </c>
      <c r="C26" s="68">
        <v>4.1180000000000001E-2</v>
      </c>
      <c r="D26" s="68">
        <v>4.0871999999999999E-2</v>
      </c>
      <c r="E26" s="68">
        <v>4.1000000000000002E-2</v>
      </c>
      <c r="F26" s="68">
        <v>3.9E-2</v>
      </c>
      <c r="G26" s="68">
        <v>3.7999999999999999E-2</v>
      </c>
      <c r="H26" s="68">
        <v>3.6999999999999998E-2</v>
      </c>
    </row>
    <row r="27" spans="1:8" ht="15" customHeight="1" x14ac:dyDescent="0.25">
      <c r="A27" s="67" t="s">
        <v>209</v>
      </c>
      <c r="B27" s="68">
        <v>0.04</v>
      </c>
      <c r="C27" s="68">
        <v>4.0365999999999999E-2</v>
      </c>
      <c r="D27" s="68">
        <v>3.993E-2</v>
      </c>
      <c r="E27" s="68">
        <v>3.9E-2</v>
      </c>
      <c r="F27" s="68">
        <v>3.9E-2</v>
      </c>
      <c r="G27" s="68">
        <v>3.7999999999999999E-2</v>
      </c>
      <c r="H27" s="68">
        <v>3.6999999999999998E-2</v>
      </c>
    </row>
    <row r="28" spans="1:8" ht="15" customHeight="1" x14ac:dyDescent="0.25">
      <c r="A28" s="67" t="s">
        <v>210</v>
      </c>
      <c r="B28" s="68">
        <v>3.9E-2</v>
      </c>
      <c r="C28" s="68">
        <v>3.9431000000000001E-2</v>
      </c>
      <c r="D28" s="68">
        <v>3.9288999999999998E-2</v>
      </c>
      <c r="E28" s="68">
        <v>3.9E-2</v>
      </c>
      <c r="F28" s="68">
        <v>3.7999999999999999E-2</v>
      </c>
      <c r="G28" s="68">
        <v>3.6999999999999998E-2</v>
      </c>
      <c r="H28" s="68">
        <v>3.5999999999999997E-2</v>
      </c>
    </row>
    <row r="29" spans="1:8" ht="15" customHeight="1" x14ac:dyDescent="0.25">
      <c r="A29" s="67" t="s">
        <v>211</v>
      </c>
      <c r="B29" s="68">
        <v>3.4000000000000002E-2</v>
      </c>
      <c r="C29" s="68">
        <v>3.3903999999999997E-2</v>
      </c>
      <c r="D29" s="68">
        <v>3.3993000000000002E-2</v>
      </c>
      <c r="E29" s="68">
        <v>3.4000000000000002E-2</v>
      </c>
      <c r="F29" s="68">
        <v>3.4000000000000002E-2</v>
      </c>
      <c r="G29" s="68">
        <v>3.2000000000000001E-2</v>
      </c>
      <c r="H29" s="68">
        <v>3.1E-2</v>
      </c>
    </row>
    <row r="30" spans="1:8" ht="15" customHeight="1" x14ac:dyDescent="0.25">
      <c r="A30" s="67" t="s">
        <v>212</v>
      </c>
      <c r="B30" s="68">
        <v>3.7999999999999999E-2</v>
      </c>
      <c r="C30" s="68">
        <v>3.8400999999999998E-2</v>
      </c>
      <c r="D30" s="68">
        <v>3.8220999999999998E-2</v>
      </c>
      <c r="E30" s="68">
        <v>3.7999999999999999E-2</v>
      </c>
      <c r="F30" s="68">
        <v>3.6999999999999998E-2</v>
      </c>
      <c r="G30" s="68">
        <v>3.6999999999999998E-2</v>
      </c>
      <c r="H30" s="68">
        <v>3.5999999999999997E-2</v>
      </c>
    </row>
    <row r="31" spans="1:8" ht="15" customHeight="1" x14ac:dyDescent="0.25">
      <c r="A31" s="67" t="s">
        <v>213</v>
      </c>
      <c r="B31" s="68">
        <v>5.5E-2</v>
      </c>
      <c r="C31" s="68">
        <v>5.3685999999999998E-2</v>
      </c>
      <c r="D31" s="68">
        <v>5.2179999999999997E-2</v>
      </c>
      <c r="E31" s="68">
        <v>5.0999999999999997E-2</v>
      </c>
      <c r="F31" s="68">
        <v>0.05</v>
      </c>
      <c r="G31" s="68">
        <v>0.05</v>
      </c>
      <c r="H31" s="68">
        <v>0.05</v>
      </c>
    </row>
    <row r="32" spans="1:8" ht="15" customHeight="1" x14ac:dyDescent="0.25">
      <c r="A32" s="67" t="s">
        <v>214</v>
      </c>
      <c r="B32" s="68">
        <v>3.9E-2</v>
      </c>
      <c r="C32" s="68">
        <v>3.9087999999999998E-2</v>
      </c>
      <c r="D32" s="68">
        <v>3.9273000000000002E-2</v>
      </c>
      <c r="E32" s="68">
        <v>3.9E-2</v>
      </c>
      <c r="F32" s="68">
        <v>3.7999999999999999E-2</v>
      </c>
      <c r="G32" s="68">
        <v>3.6999999999999998E-2</v>
      </c>
      <c r="H32" s="68">
        <v>3.6999999999999998E-2</v>
      </c>
    </row>
    <row r="34" spans="1:8" ht="15" customHeight="1" x14ac:dyDescent="0.25">
      <c r="A34" s="56" t="s">
        <v>215</v>
      </c>
      <c r="B34" s="71">
        <f t="shared" ref="B34:H34" si="0">AVERAGE(B4:B32)</f>
        <v>4.2172413793103457E-2</v>
      </c>
      <c r="C34" s="71">
        <f t="shared" si="0"/>
        <v>4.226165517241378E-2</v>
      </c>
      <c r="D34" s="71">
        <f t="shared" si="0"/>
        <v>4.1995379310344812E-2</v>
      </c>
      <c r="E34" s="71">
        <f t="shared" si="0"/>
        <v>4.1689655172413805E-2</v>
      </c>
      <c r="F34" s="71">
        <f t="shared" si="0"/>
        <v>4.0896551724137947E-2</v>
      </c>
      <c r="G34" s="71">
        <f t="shared" si="0"/>
        <v>4.0103448275862076E-2</v>
      </c>
      <c r="H34" s="71">
        <f t="shared" si="0"/>
        <v>3.9586206896551734E-2</v>
      </c>
    </row>
    <row r="35" spans="1:8" ht="15" customHeight="1" x14ac:dyDescent="0.25">
      <c r="A35" s="56" t="s">
        <v>216</v>
      </c>
      <c r="B35" s="71">
        <f t="shared" ref="B35:H35" si="1">MEDIAN(B4:B32)</f>
        <v>3.9E-2</v>
      </c>
      <c r="C35" s="71">
        <f t="shared" si="1"/>
        <v>3.9431000000000001E-2</v>
      </c>
      <c r="D35" s="71">
        <f t="shared" si="1"/>
        <v>3.9273000000000002E-2</v>
      </c>
      <c r="E35" s="71">
        <f t="shared" si="1"/>
        <v>3.9E-2</v>
      </c>
      <c r="F35" s="71">
        <f t="shared" si="1"/>
        <v>3.7999999999999999E-2</v>
      </c>
      <c r="G35" s="71">
        <f t="shared" si="1"/>
        <v>3.6999999999999998E-2</v>
      </c>
      <c r="H35" s="71">
        <f t="shared" si="1"/>
        <v>3.6999999999999998E-2</v>
      </c>
    </row>
    <row r="36" spans="1:8" ht="15" customHeight="1" x14ac:dyDescent="0.25">
      <c r="A36" s="56" t="s">
        <v>217</v>
      </c>
      <c r="B36" s="71">
        <f t="shared" ref="B36:H36" si="2">MIN(B4:B32)</f>
        <v>3.1E-2</v>
      </c>
      <c r="C36" s="71">
        <f t="shared" si="2"/>
        <v>3.1604E-2</v>
      </c>
      <c r="D36" s="71">
        <f t="shared" si="2"/>
        <v>3.1671999999999999E-2</v>
      </c>
      <c r="E36" s="71">
        <f t="shared" si="2"/>
        <v>3.1E-2</v>
      </c>
      <c r="F36" s="71">
        <f t="shared" si="2"/>
        <v>3.2000000000000001E-2</v>
      </c>
      <c r="G36" s="71">
        <f t="shared" si="2"/>
        <v>3.1E-2</v>
      </c>
      <c r="H36" s="71">
        <f t="shared" si="2"/>
        <v>3.1E-2</v>
      </c>
    </row>
    <row r="37" spans="1:8" ht="15" customHeight="1" x14ac:dyDescent="0.25">
      <c r="A37" s="56" t="s">
        <v>218</v>
      </c>
      <c r="B37" s="71">
        <f t="shared" ref="B37:H37" si="3">MAX(B4:B32)</f>
        <v>8.1000000000000003E-2</v>
      </c>
      <c r="C37" s="71">
        <f t="shared" si="3"/>
        <v>7.9378000000000004E-2</v>
      </c>
      <c r="D37" s="71">
        <f t="shared" si="3"/>
        <v>7.8392000000000003E-2</v>
      </c>
      <c r="E37" s="71">
        <f t="shared" si="3"/>
        <v>7.8E-2</v>
      </c>
      <c r="F37" s="71">
        <f t="shared" si="3"/>
        <v>7.5999999999999998E-2</v>
      </c>
      <c r="G37" s="71">
        <f t="shared" si="3"/>
        <v>7.6999999999999999E-2</v>
      </c>
      <c r="H37" s="71">
        <f t="shared" si="3"/>
        <v>7.8E-2</v>
      </c>
    </row>
    <row r="38" spans="1:8" ht="15" customHeight="1" x14ac:dyDescent="0.25">
      <c r="A38" s="56" t="s">
        <v>219</v>
      </c>
      <c r="B38" s="67">
        <f t="shared" ref="B38:H38" si="4">RANK(B25,B4:B32,1)</f>
        <v>1</v>
      </c>
      <c r="C38" s="67">
        <f t="shared" si="4"/>
        <v>1</v>
      </c>
      <c r="D38" s="67">
        <f t="shared" si="4"/>
        <v>2</v>
      </c>
      <c r="E38" s="67">
        <f t="shared" si="4"/>
        <v>2</v>
      </c>
      <c r="F38" s="67">
        <f t="shared" si="4"/>
        <v>8</v>
      </c>
      <c r="G38" s="67">
        <f t="shared" si="4"/>
        <v>1</v>
      </c>
      <c r="H38" s="67">
        <f t="shared" si="4"/>
        <v>1</v>
      </c>
    </row>
    <row r="39" spans="1:8" ht="15" customHeight="1" x14ac:dyDescent="0.25">
      <c r="A39" s="56" t="s">
        <v>220</v>
      </c>
      <c r="B39" s="67">
        <f t="shared" ref="B39:H39" si="5">COUNT(B4:B32)</f>
        <v>29</v>
      </c>
      <c r="C39" s="67">
        <f t="shared" si="5"/>
        <v>29</v>
      </c>
      <c r="D39" s="67">
        <f t="shared" si="5"/>
        <v>29</v>
      </c>
      <c r="E39" s="67">
        <f t="shared" si="5"/>
        <v>29</v>
      </c>
      <c r="F39" s="67">
        <f t="shared" si="5"/>
        <v>29</v>
      </c>
      <c r="G39" s="67">
        <f t="shared" si="5"/>
        <v>29</v>
      </c>
      <c r="H39" s="67">
        <f t="shared" si="5"/>
        <v>29</v>
      </c>
    </row>
  </sheetData>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Executive Summary</vt:lpstr>
      <vt:lpstr>GRP by Industry</vt:lpstr>
      <vt:lpstr>Wage Trends</vt:lpstr>
      <vt:lpstr>Establishment Trends</vt:lpstr>
      <vt:lpstr>Self-Employed Trends</vt:lpstr>
      <vt:lpstr>Job Growth Trends</vt:lpstr>
      <vt:lpstr>Visitor Trends (Placer.ai)</vt:lpstr>
      <vt:lpstr>Population Trends</vt:lpstr>
      <vt:lpstr>Data</vt:lpstr>
      <vt:lpstr>GRP Data</vt:lpstr>
      <vt:lpstr>Wage Data</vt:lpstr>
      <vt:lpstr>Establishment Data</vt:lpstr>
      <vt:lpstr>Self-Employed Data</vt:lpstr>
      <vt:lpstr>Job Growth Data</vt:lpstr>
      <vt:lpstr>Population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Amy Jones</cp:lastModifiedBy>
  <cp:revision>0</cp:revision>
  <dcterms:created xsi:type="dcterms:W3CDTF">2026-07-15T15:43:24Z</dcterms:created>
  <dcterms:modified xsi:type="dcterms:W3CDTF">2026-07-15T19:54:09Z</dcterms:modified>
  <dc:language>en-US</dc:language>
</cp:coreProperties>
</file>