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dapplefinancial-my.sharepoint.com/personal/hwire_redapplefinance_com/Documents/Public Drive/Schools/Utah International/Budgets/FY27/"/>
    </mc:Choice>
  </mc:AlternateContent>
  <xr:revisionPtr revIDLastSave="430" documentId="8_{C462C214-EAD4-44E1-97A0-F8E5003AD177}" xr6:coauthVersionLast="47" xr6:coauthVersionMax="47" xr10:uidLastSave="{1EA9F607-146C-408E-9CBD-3CCBA67120D1}"/>
  <bookViews>
    <workbookView xWindow="20370" yWindow="-9435" windowWidth="29040" windowHeight="15720" tabRatio="811" xr2:uid="{00000000-000D-0000-FFFF-FFFF00000000}"/>
  </bookViews>
  <sheets>
    <sheet name="Summary" sheetId="3" r:id="rId1"/>
    <sheet name="Budget Detail" sheetId="1" r:id="rId2"/>
    <sheet name="ESSER" sheetId="14" state="hidden" r:id="rId3"/>
    <sheet name="WPU" sheetId="13" state="hidden" r:id="rId4"/>
    <sheet name="Statistics" sheetId="6" state="hidden" r:id="rId5"/>
    <sheet name="Statistics 2" sheetId="10" state="hidden" r:id="rId6"/>
    <sheet name="Cash Flow" sheetId="7" state="hidden" r:id="rId7"/>
    <sheet name="Debt-Leases-Obligations" sheetId="8" state="hidden" r:id="rId8"/>
    <sheet name="Summary support" sheetId="12" r:id="rId9"/>
  </sheets>
  <definedNames>
    <definedName name="_xlnm.Print_Area" localSheetId="1">'Budget Detail'!$A$2:$L$134</definedName>
    <definedName name="_xlnm.Print_Area" localSheetId="0">Summary!$A$1:$AB$57</definedName>
    <definedName name="_xlnm.Print_Titles" localSheetId="1">'Budget Detail'!$6:$6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4" i="1" l="1"/>
  <c r="O65" i="1"/>
  <c r="O69" i="1"/>
  <c r="O73" i="1"/>
  <c r="F59" i="1"/>
  <c r="F15" i="1"/>
  <c r="L43" i="1"/>
  <c r="L44" i="1"/>
  <c r="L45" i="1"/>
  <c r="O45" i="1"/>
  <c r="L57" i="1" l="1"/>
  <c r="L58" i="1"/>
  <c r="J75" i="1"/>
  <c r="J82" i="1"/>
  <c r="J91" i="1"/>
  <c r="J98" i="1"/>
  <c r="J107" i="1"/>
  <c r="J118" i="1"/>
  <c r="J128" i="1"/>
  <c r="O68" i="1"/>
  <c r="O70" i="1"/>
  <c r="O71" i="1"/>
  <c r="O72" i="1"/>
  <c r="O74" i="1"/>
  <c r="O64" i="1"/>
  <c r="K38" i="1"/>
  <c r="L38" i="1"/>
  <c r="J46" i="1"/>
  <c r="J59" i="1"/>
  <c r="K53" i="1"/>
  <c r="L53" i="1"/>
  <c r="K13" i="1"/>
  <c r="L13" i="1"/>
  <c r="F107" i="1"/>
  <c r="K106" i="1"/>
  <c r="O107" i="1"/>
  <c r="L106" i="1"/>
  <c r="F128" i="1"/>
  <c r="K45" i="1"/>
  <c r="K41" i="1"/>
  <c r="K40" i="1"/>
  <c r="K55" i="1" l="1"/>
  <c r="L55" i="1"/>
  <c r="K54" i="1"/>
  <c r="L54" i="1"/>
  <c r="L41" i="1"/>
  <c r="L40" i="1"/>
  <c r="L33" i="1" l="1"/>
  <c r="K39" i="1"/>
  <c r="L39" i="1"/>
  <c r="K37" i="1"/>
  <c r="L37" i="1"/>
  <c r="J15" i="1"/>
  <c r="L110" i="1" l="1"/>
  <c r="O59" i="1" l="1"/>
  <c r="M131" i="1" l="1"/>
  <c r="N131" i="1"/>
  <c r="M128" i="1"/>
  <c r="N128" i="1"/>
  <c r="O128" i="1"/>
  <c r="M122" i="1"/>
  <c r="N122" i="1"/>
  <c r="O122" i="1"/>
  <c r="L125" i="1"/>
  <c r="L126" i="1"/>
  <c r="L127" i="1"/>
  <c r="L124" i="1"/>
  <c r="L121" i="1"/>
  <c r="L120" i="1"/>
  <c r="M118" i="1"/>
  <c r="N118" i="1"/>
  <c r="O118" i="1"/>
  <c r="L111" i="1"/>
  <c r="L112" i="1"/>
  <c r="L113" i="1"/>
  <c r="L114" i="1"/>
  <c r="L115" i="1"/>
  <c r="L116" i="1"/>
  <c r="L117" i="1"/>
  <c r="L109" i="1"/>
  <c r="L101" i="1"/>
  <c r="L102" i="1"/>
  <c r="L103" i="1"/>
  <c r="L104" i="1"/>
  <c r="L105" i="1"/>
  <c r="L100" i="1"/>
  <c r="M98" i="1"/>
  <c r="N98" i="1"/>
  <c r="O98" i="1"/>
  <c r="L94" i="1"/>
  <c r="L95" i="1"/>
  <c r="L96" i="1"/>
  <c r="L97" i="1"/>
  <c r="L93" i="1"/>
  <c r="M91" i="1"/>
  <c r="N91" i="1"/>
  <c r="O91" i="1"/>
  <c r="L85" i="1"/>
  <c r="L86" i="1"/>
  <c r="L87" i="1"/>
  <c r="L88" i="1"/>
  <c r="L89" i="1"/>
  <c r="L90" i="1"/>
  <c r="L84" i="1"/>
  <c r="M82" i="1"/>
  <c r="N82" i="1"/>
  <c r="L78" i="1"/>
  <c r="L79" i="1"/>
  <c r="L80" i="1"/>
  <c r="L81" i="1"/>
  <c r="M75" i="1"/>
  <c r="N75" i="1"/>
  <c r="O75" i="1"/>
  <c r="O77" i="1" s="1"/>
  <c r="L65" i="1"/>
  <c r="L66" i="1"/>
  <c r="L67" i="1"/>
  <c r="L68" i="1"/>
  <c r="L69" i="1"/>
  <c r="L70" i="1"/>
  <c r="L71" i="1"/>
  <c r="L72" i="1"/>
  <c r="L73" i="1"/>
  <c r="L74" i="1"/>
  <c r="M59" i="1"/>
  <c r="N59" i="1"/>
  <c r="L49" i="1"/>
  <c r="L51" i="1"/>
  <c r="L56" i="1"/>
  <c r="L48" i="1"/>
  <c r="K56" i="1"/>
  <c r="M46" i="1"/>
  <c r="N46" i="1"/>
  <c r="O46" i="1"/>
  <c r="L107" i="1" l="1"/>
  <c r="L122" i="1"/>
  <c r="L98" i="1"/>
  <c r="L128" i="1"/>
  <c r="O82" i="1"/>
  <c r="O129" i="1" s="1"/>
  <c r="L118" i="1"/>
  <c r="L91" i="1"/>
  <c r="L18" i="1" l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42" i="1"/>
  <c r="L17" i="1"/>
  <c r="M15" i="1"/>
  <c r="N15" i="1"/>
  <c r="O15" i="1"/>
  <c r="O60" i="1" s="1"/>
  <c r="O131" i="1" s="1"/>
  <c r="L10" i="1"/>
  <c r="L11" i="1"/>
  <c r="L12" i="1"/>
  <c r="L14" i="1"/>
  <c r="L9" i="1"/>
  <c r="L46" i="1" l="1"/>
  <c r="L15" i="1"/>
  <c r="I44" i="3"/>
  <c r="L50" i="1" l="1"/>
  <c r="J4" i="12"/>
  <c r="K4" i="12"/>
  <c r="F75" i="1" l="1"/>
  <c r="I50" i="3" l="1"/>
  <c r="J44" i="3"/>
  <c r="J42" i="3"/>
  <c r="J50" i="3" s="1"/>
  <c r="H122" i="1" l="1"/>
  <c r="J122" i="1"/>
  <c r="G122" i="1"/>
  <c r="F122" i="1"/>
  <c r="F46" i="1"/>
  <c r="K122" i="1" l="1"/>
  <c r="N48" i="3"/>
  <c r="O48" i="3"/>
  <c r="P48" i="3"/>
  <c r="Q48" i="3"/>
  <c r="R48" i="3"/>
  <c r="S48" i="3"/>
  <c r="T48" i="3"/>
  <c r="U48" i="3"/>
  <c r="V48" i="3"/>
  <c r="W48" i="3"/>
  <c r="M48" i="3"/>
  <c r="E74" i="1"/>
  <c r="E73" i="1"/>
  <c r="E72" i="1"/>
  <c r="E71" i="1"/>
  <c r="E70" i="1"/>
  <c r="E69" i="1"/>
  <c r="E68" i="1"/>
  <c r="E67" i="1"/>
  <c r="E65" i="1"/>
  <c r="E64" i="1"/>
  <c r="K24" i="1"/>
  <c r="I24" i="1"/>
  <c r="E109" i="1"/>
  <c r="I126" i="1"/>
  <c r="K126" i="1"/>
  <c r="E124" i="1"/>
  <c r="E128" i="1" s="1"/>
  <c r="E116" i="1"/>
  <c r="E115" i="1"/>
  <c r="E114" i="1"/>
  <c r="G107" i="1"/>
  <c r="E103" i="1"/>
  <c r="E107" i="1" s="1"/>
  <c r="E84" i="1"/>
  <c r="E34" i="1"/>
  <c r="G128" i="1" l="1"/>
  <c r="K121" i="1"/>
  <c r="I121" i="1"/>
  <c r="L77" i="1"/>
  <c r="L82" i="1" s="1"/>
  <c r="G77" i="1"/>
  <c r="G65" i="1"/>
  <c r="G64" i="1"/>
  <c r="G59" i="1"/>
  <c r="I9" i="1"/>
  <c r="K9" i="1"/>
  <c r="L52" i="1" l="1"/>
  <c r="L59" i="1" s="1"/>
  <c r="L60" i="1" s="1"/>
  <c r="K64" i="1"/>
  <c r="L64" i="1"/>
  <c r="L75" i="1" s="1"/>
  <c r="L129" i="1" s="1"/>
  <c r="I127" i="1"/>
  <c r="K127" i="1"/>
  <c r="R5" i="12" l="1"/>
  <c r="I36" i="1"/>
  <c r="K10" i="1" l="1"/>
  <c r="I10" i="1"/>
  <c r="I52" i="1" l="1"/>
  <c r="K52" i="1"/>
  <c r="K36" i="1" l="1"/>
  <c r="I69" i="1" l="1"/>
  <c r="K69" i="1"/>
  <c r="K42" i="1" l="1"/>
  <c r="I27" i="1" l="1"/>
  <c r="I101" i="1" l="1"/>
  <c r="K101" i="1"/>
  <c r="I87" i="1"/>
  <c r="K87" i="1"/>
  <c r="I67" i="1"/>
  <c r="E75" i="1"/>
  <c r="K65" i="1"/>
  <c r="K67" i="1"/>
  <c r="G75" i="1"/>
  <c r="E59" i="1"/>
  <c r="K27" i="1"/>
  <c r="I44" i="1"/>
  <c r="K44" i="1"/>
  <c r="K96" i="1" l="1"/>
  <c r="I96" i="1"/>
  <c r="E82" i="1" l="1"/>
  <c r="E118" i="1"/>
  <c r="E122" i="1"/>
  <c r="I70" i="1"/>
  <c r="K70" i="1"/>
  <c r="E98" i="1" l="1"/>
  <c r="E91" i="1"/>
  <c r="I86" i="1" l="1"/>
  <c r="K86" i="1"/>
  <c r="I22" i="1"/>
  <c r="K22" i="1"/>
  <c r="G91" i="1"/>
  <c r="F91" i="1"/>
  <c r="I125" i="1"/>
  <c r="K125" i="1"/>
  <c r="I113" i="1"/>
  <c r="K113" i="1"/>
  <c r="I90" i="1"/>
  <c r="K90" i="1"/>
  <c r="G46" i="1"/>
  <c r="I28" i="1"/>
  <c r="K28" i="1"/>
  <c r="I23" i="1"/>
  <c r="K23" i="1"/>
  <c r="K91" i="1" l="1"/>
  <c r="I11" i="1"/>
  <c r="K11" i="1"/>
  <c r="I104" i="1" l="1"/>
  <c r="I105" i="1"/>
  <c r="K104" i="1"/>
  <c r="K105" i="1"/>
  <c r="I72" i="1"/>
  <c r="I66" i="1"/>
  <c r="K72" i="1"/>
  <c r="K66" i="1"/>
  <c r="I89" i="1" l="1"/>
  <c r="K89" i="1"/>
  <c r="K50" i="1"/>
  <c r="I50" i="1"/>
  <c r="I42" i="1"/>
  <c r="I49" i="1"/>
  <c r="K49" i="1"/>
  <c r="K29" i="1" l="1"/>
  <c r="I29" i="1"/>
  <c r="D6" i="14" l="1"/>
  <c r="D3" i="14"/>
  <c r="D2" i="14"/>
  <c r="I73" i="1" l="1"/>
  <c r="K73" i="1"/>
  <c r="J5" i="12" l="1"/>
  <c r="K5" i="12"/>
  <c r="L5" i="12"/>
  <c r="M5" i="12"/>
  <c r="N5" i="12"/>
  <c r="O5" i="12"/>
  <c r="P5" i="12"/>
  <c r="Q5" i="12"/>
  <c r="S5" i="12"/>
  <c r="I5" i="12"/>
  <c r="H5" i="12"/>
  <c r="B9" i="3" l="1"/>
  <c r="F98" i="1" l="1"/>
  <c r="E46" i="1" l="1"/>
  <c r="J1" i="1" l="1"/>
  <c r="K1" i="1"/>
  <c r="T3" i="12" l="1"/>
  <c r="F82" i="1"/>
  <c r="I111" i="1" l="1"/>
  <c r="K111" i="1"/>
  <c r="G82" i="1"/>
  <c r="K32" i="1"/>
  <c r="I32" i="1"/>
  <c r="G15" i="1"/>
  <c r="G98" i="1"/>
  <c r="G118" i="1"/>
  <c r="G60" i="1" l="1"/>
  <c r="G129" i="1"/>
  <c r="G131" i="1" l="1"/>
  <c r="G134" i="1" s="1"/>
  <c r="I97" i="1" l="1"/>
  <c r="K14" i="1" l="1"/>
  <c r="K26" i="1" l="1"/>
  <c r="K25" i="1"/>
  <c r="I25" i="1"/>
  <c r="K97" i="1" l="1"/>
  <c r="K95" i="1" l="1"/>
  <c r="K94" i="1"/>
  <c r="K93" i="1"/>
  <c r="K19" i="1"/>
  <c r="T4" i="12" l="1"/>
  <c r="T5" i="12" s="1"/>
  <c r="I17" i="1"/>
  <c r="G17" i="3"/>
  <c r="G16" i="3"/>
  <c r="K109" i="1"/>
  <c r="G24" i="3"/>
  <c r="G25" i="3"/>
  <c r="G26" i="3"/>
  <c r="G28" i="3"/>
  <c r="G29" i="3"/>
  <c r="E28" i="3"/>
  <c r="K35" i="1"/>
  <c r="F28" i="3"/>
  <c r="I78" i="1"/>
  <c r="I79" i="1"/>
  <c r="I80" i="1"/>
  <c r="I81" i="1"/>
  <c r="F24" i="3"/>
  <c r="F25" i="3"/>
  <c r="F26" i="3"/>
  <c r="F27" i="3"/>
  <c r="F29" i="3"/>
  <c r="F16" i="3"/>
  <c r="F18" i="3"/>
  <c r="E15" i="1"/>
  <c r="I88" i="1"/>
  <c r="I71" i="1"/>
  <c r="I68" i="1"/>
  <c r="C12" i="13"/>
  <c r="N19" i="13"/>
  <c r="P19" i="13" s="1"/>
  <c r="N11" i="13"/>
  <c r="P11" i="13" s="1"/>
  <c r="N12" i="13"/>
  <c r="P12" i="13" s="1"/>
  <c r="N13" i="13"/>
  <c r="P13" i="13" s="1"/>
  <c r="N14" i="13"/>
  <c r="P14" i="13" s="1"/>
  <c r="N15" i="13"/>
  <c r="P15" i="13" s="1"/>
  <c r="N16" i="13"/>
  <c r="P16" i="13" s="1"/>
  <c r="N17" i="13"/>
  <c r="P17" i="13" s="1"/>
  <c r="N18" i="13"/>
  <c r="P18" i="13" s="1"/>
  <c r="M20" i="13"/>
  <c r="L20" i="13"/>
  <c r="K20" i="13"/>
  <c r="J20" i="13"/>
  <c r="I20" i="13"/>
  <c r="H20" i="13"/>
  <c r="G20" i="13"/>
  <c r="F20" i="13"/>
  <c r="E20" i="13"/>
  <c r="P20" i="13"/>
  <c r="K84" i="1"/>
  <c r="E16" i="3"/>
  <c r="K30" i="1"/>
  <c r="I124" i="1"/>
  <c r="I128" i="1" s="1"/>
  <c r="I93" i="1"/>
  <c r="I14" i="1"/>
  <c r="I20" i="1"/>
  <c r="I21" i="1"/>
  <c r="I19" i="1"/>
  <c r="I18" i="1"/>
  <c r="I26" i="1"/>
  <c r="I31" i="1"/>
  <c r="I34" i="1"/>
  <c r="I35" i="1"/>
  <c r="I48" i="1"/>
  <c r="I51" i="1"/>
  <c r="I12" i="1"/>
  <c r="I112" i="1"/>
  <c r="I117" i="1"/>
  <c r="I114" i="1"/>
  <c r="I115" i="1"/>
  <c r="I116" i="1"/>
  <c r="I64" i="1"/>
  <c r="I65" i="1"/>
  <c r="I84" i="1"/>
  <c r="I85" i="1"/>
  <c r="I94" i="1"/>
  <c r="I95" i="1"/>
  <c r="I100" i="1"/>
  <c r="I102" i="1"/>
  <c r="I103" i="1"/>
  <c r="I120" i="1"/>
  <c r="I122" i="1" s="1"/>
  <c r="K85" i="1"/>
  <c r="K120" i="1"/>
  <c r="K48" i="1"/>
  <c r="K112" i="1"/>
  <c r="K21" i="1"/>
  <c r="K117" i="1"/>
  <c r="E29" i="3"/>
  <c r="K124" i="1"/>
  <c r="K115" i="1"/>
  <c r="K114" i="1"/>
  <c r="E26" i="3"/>
  <c r="K103" i="1"/>
  <c r="K102" i="1"/>
  <c r="K100" i="1"/>
  <c r="K88" i="1"/>
  <c r="K80" i="1"/>
  <c r="K79" i="1"/>
  <c r="K78" i="1"/>
  <c r="E22" i="3"/>
  <c r="K71" i="1"/>
  <c r="K68" i="1"/>
  <c r="E18" i="3"/>
  <c r="K51" i="1"/>
  <c r="K34" i="1"/>
  <c r="K31" i="1"/>
  <c r="K20" i="1"/>
  <c r="K18" i="1"/>
  <c r="K12" i="1"/>
  <c r="E12" i="7"/>
  <c r="E9" i="7"/>
  <c r="E13" i="7" s="1"/>
  <c r="D12" i="7"/>
  <c r="D9" i="7"/>
  <c r="P7" i="10"/>
  <c r="R7" i="10" s="1"/>
  <c r="P8" i="10"/>
  <c r="R8" i="10" s="1"/>
  <c r="P9" i="10"/>
  <c r="R9" i="10" s="1"/>
  <c r="P10" i="10"/>
  <c r="R10" i="10" s="1"/>
  <c r="P11" i="10"/>
  <c r="R11" i="10" s="1"/>
  <c r="P12" i="10"/>
  <c r="R12" i="10" s="1"/>
  <c r="P13" i="10"/>
  <c r="R13" i="10" s="1"/>
  <c r="P6" i="10"/>
  <c r="R6" i="10" s="1"/>
  <c r="F7" i="10"/>
  <c r="F8" i="10"/>
  <c r="F9" i="10"/>
  <c r="F10" i="10"/>
  <c r="F11" i="10"/>
  <c r="F12" i="10"/>
  <c r="F13" i="10"/>
  <c r="F6" i="10"/>
  <c r="O24" i="6"/>
  <c r="O25" i="6"/>
  <c r="O26" i="6"/>
  <c r="O27" i="6"/>
  <c r="O28" i="6"/>
  <c r="O29" i="6"/>
  <c r="O30" i="6"/>
  <c r="O23" i="6"/>
  <c r="F26" i="6"/>
  <c r="F25" i="6"/>
  <c r="F24" i="6"/>
  <c r="F23" i="6"/>
  <c r="F22" i="6"/>
  <c r="F21" i="6"/>
  <c r="F20" i="6"/>
  <c r="F19" i="6"/>
  <c r="I107" i="1" l="1"/>
  <c r="I15" i="1"/>
  <c r="I91" i="1"/>
  <c r="K107" i="1"/>
  <c r="H28" i="3"/>
  <c r="H26" i="3"/>
  <c r="I98" i="1"/>
  <c r="H29" i="3"/>
  <c r="K128" i="1"/>
  <c r="P21" i="13"/>
  <c r="C4" i="13" s="1"/>
  <c r="C8" i="13" s="1"/>
  <c r="E60" i="1"/>
  <c r="K74" i="1"/>
  <c r="I109" i="1"/>
  <c r="I118" i="1" s="1"/>
  <c r="D13" i="7"/>
  <c r="K98" i="1"/>
  <c r="I59" i="1"/>
  <c r="G27" i="3"/>
  <c r="I74" i="1"/>
  <c r="I75" i="1" s="1"/>
  <c r="K15" i="1"/>
  <c r="E25" i="3"/>
  <c r="H25" i="3" s="1"/>
  <c r="H16" i="3"/>
  <c r="G22" i="3"/>
  <c r="K75" i="1"/>
  <c r="G18" i="3"/>
  <c r="G19" i="3" s="1"/>
  <c r="K59" i="1"/>
  <c r="J60" i="1"/>
  <c r="J133" i="1" s="1"/>
  <c r="E129" i="1"/>
  <c r="E23" i="3"/>
  <c r="E24" i="3"/>
  <c r="H24" i="3" s="1"/>
  <c r="K81" i="1"/>
  <c r="K17" i="1"/>
  <c r="I30" i="1"/>
  <c r="I46" i="1" s="1"/>
  <c r="H18" i="3" l="1"/>
  <c r="E131" i="1"/>
  <c r="F17" i="3"/>
  <c r="F19" i="3" s="1"/>
  <c r="I60" i="1"/>
  <c r="F22" i="3"/>
  <c r="K77" i="1"/>
  <c r="E17" i="3"/>
  <c r="H17" i="3" s="1"/>
  <c r="F60" i="1"/>
  <c r="K46" i="1"/>
  <c r="H22" i="3"/>
  <c r="F23" i="3" l="1"/>
  <c r="F30" i="3" s="1"/>
  <c r="I77" i="1"/>
  <c r="I82" i="1" s="1"/>
  <c r="I129" i="1" s="1"/>
  <c r="I131" i="1" s="1"/>
  <c r="K60" i="1"/>
  <c r="E19" i="3"/>
  <c r="G23" i="3"/>
  <c r="J129" i="1"/>
  <c r="J131" i="1" s="1"/>
  <c r="K82" i="1"/>
  <c r="F32" i="3" l="1"/>
  <c r="F34" i="3" s="1"/>
  <c r="J134" i="1"/>
  <c r="H23" i="3"/>
  <c r="G30" i="3"/>
  <c r="E40" i="3" s="1"/>
  <c r="H19" i="3"/>
  <c r="Z20" i="3" l="1"/>
  <c r="G32" i="3"/>
  <c r="G34" i="3" s="1"/>
  <c r="Z18" i="3" l="1"/>
  <c r="K116" i="1"/>
  <c r="F118" i="1"/>
  <c r="F129" i="1" s="1"/>
  <c r="E27" i="3" l="1"/>
  <c r="E30" i="3" s="1"/>
  <c r="K118" i="1"/>
  <c r="F131" i="1" l="1"/>
  <c r="K131" i="1" s="1"/>
  <c r="H27" i="3"/>
  <c r="K129" i="1"/>
  <c r="H30" i="3"/>
  <c r="E32" i="3"/>
  <c r="E34" i="3" s="1"/>
  <c r="Z16" i="3" s="1"/>
  <c r="H32" i="3" l="1"/>
  <c r="F134" i="1"/>
  <c r="K13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Haydn Stender</author>
  </authors>
  <commentList>
    <comment ref="O4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Haydn Stender:</t>
        </r>
        <r>
          <rPr>
            <sz val="9"/>
            <color indexed="81"/>
            <rFont val="Tahoma"/>
            <family val="2"/>
          </rPr>
          <t xml:space="preserve">
Official Oct 1 Count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Haydn Stender</author>
  </authors>
  <commentList>
    <comment ref="O33" authorId="0" shapeId="0" xr:uid="{31F2F2B7-5881-41AB-BC25-9B2DC1AFB49C}">
      <text>
        <r>
          <rPr>
            <b/>
            <sz val="9"/>
            <color indexed="81"/>
            <rFont val="Tahoma"/>
            <charset val="1"/>
          </rPr>
          <t>Haydn Stender:</t>
        </r>
        <r>
          <rPr>
            <sz val="9"/>
            <color indexed="81"/>
            <rFont val="Tahoma"/>
            <charset val="1"/>
          </rPr>
          <t xml:space="preserve">
The Utah Salary Supplement for Highly Needed Educators (SHiNE) program, effective July 1, 2025, is intended to incentivize and retain educators in hard-to-fill teaching assignments by providing salary supplements to teachers in designated high-needs areas, as determined by each Local Education Agency (LEA).
Purpose:
To address teacher shortages and retention challenges in specific subject areas and/or locations. 
Implementation:
Each LEA (school district or charter school) will create its own policy outlining the administration of the SHiNE program within its jurisdiction. 
High-Needs Areas:
LEAs will identify and designate "high-needs areas" within their districts, which are teaching assignments that are difficult to fill or retain. 
Eligible Teachers:
Teachers assigned to a high-needs area and meeting the LEA's specific eligibility criteria will be eligible for a salary supplement. 
Salary Supplement Amount:
The amount of the salary supplement will be determined by each LEA's policy</t>
        </r>
      </text>
    </comment>
    <comment ref="O43" authorId="0" shapeId="0" xr:uid="{5C2EFCE8-5611-4AD4-A849-1EFA8DE60B0E}">
      <text>
        <r>
          <rPr>
            <b/>
            <sz val="9"/>
            <color indexed="81"/>
            <rFont val="Tahoma"/>
            <charset val="1"/>
          </rPr>
          <t>Haydn Stender:</t>
        </r>
        <r>
          <rPr>
            <sz val="9"/>
            <color indexed="81"/>
            <rFont val="Tahoma"/>
            <charset val="1"/>
          </rPr>
          <t xml:space="preserve">
School-Based Education Support Professional Stipends: One-time for FY26 
o $1,000 prorated per FTE
o Employed by the LEA as of September 1, 2025
o Available for the following positions:
-Instructional paraprofessionals
- Library paraprofessionals
- Student support
- Janitors
- Bus Drivers
- Food Services; and
- School and other support
- Administration or administration support if the individual works exclusively in a school setting supporting students</t>
        </r>
      </text>
    </comment>
    <comment ref="G6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Haydn Stender:</t>
        </r>
        <r>
          <rPr>
            <sz val="9"/>
            <color indexed="81"/>
            <rFont val="Tahoma"/>
            <family val="2"/>
          </rPr>
          <t xml:space="preserve">
Waiting on assistant principal hiring expect $76K
</t>
        </r>
      </text>
    </comment>
    <comment ref="G8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Haydn Stender:</t>
        </r>
        <r>
          <rPr>
            <sz val="9"/>
            <color indexed="81"/>
            <rFont val="Tahoma"/>
            <family val="2"/>
          </rPr>
          <t xml:space="preserve">
Quote from Morten for WCF</t>
        </r>
      </text>
    </comment>
    <comment ref="O9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Haydn Stender:</t>
        </r>
        <r>
          <rPr>
            <sz val="9"/>
            <color indexed="81"/>
            <rFont val="Tahoma"/>
            <family val="2"/>
          </rPr>
          <t xml:space="preserve">
$5305*12 months 2% increase cost</t>
        </r>
      </text>
    </comment>
    <comment ref="O93" authorId="0" shapeId="0" xr:uid="{BA7E77A8-D764-4FDD-9239-F95F48AC5592}">
      <text>
        <r>
          <rPr>
            <b/>
            <sz val="9"/>
            <color indexed="81"/>
            <rFont val="Tahoma"/>
            <charset val="1"/>
          </rPr>
          <t>Haydn Stender:</t>
        </r>
        <r>
          <rPr>
            <sz val="9"/>
            <color indexed="81"/>
            <rFont val="Tahoma"/>
            <charset val="1"/>
          </rPr>
          <t xml:space="preserve">
Granite Bills you for this.</t>
        </r>
      </text>
    </comment>
    <comment ref="O96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Haydn Stender:</t>
        </r>
        <r>
          <rPr>
            <sz val="9"/>
            <color indexed="81"/>
            <rFont val="Tahoma"/>
            <family val="2"/>
          </rPr>
          <t xml:space="preserve">
Typical Monthly lease expected increase 3.0% like last year
Monthly payment: $18,998.13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K6" authorId="0" shapeId="0" xr:uid="{00000000-0006-0000-0400-000001000000}">
      <text>
        <r>
          <rPr>
            <sz val="8"/>
            <color indexed="81"/>
            <rFont val="Tahoma"/>
            <family val="2"/>
          </rPr>
          <t>10th in % of state budget spent on education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B33" authorId="0" shapeId="0" xr:uid="{00000000-0006-0000-0600-000001000000}">
      <text>
        <r>
          <rPr>
            <sz val="8"/>
            <color indexed="81"/>
            <rFont val="Tahoma"/>
            <family val="2"/>
          </rPr>
          <t>Start-up year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Haydn Stender</author>
  </authors>
  <commentList>
    <comment ref="K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Haydn Stender:</t>
        </r>
        <r>
          <rPr>
            <sz val="9"/>
            <color indexed="81"/>
            <rFont val="Tahoma"/>
            <family val="2"/>
          </rPr>
          <t xml:space="preserve">
Include 09/30 paychecks
</t>
        </r>
      </text>
    </comment>
  </commentList>
</comments>
</file>

<file path=xl/sharedStrings.xml><?xml version="1.0" encoding="utf-8"?>
<sst xmlns="http://schemas.openxmlformats.org/spreadsheetml/2006/main" count="432" uniqueCount="309">
  <si>
    <t>Revenue</t>
  </si>
  <si>
    <t>Expenses</t>
  </si>
  <si>
    <t>Budget</t>
  </si>
  <si>
    <t>Forecast</t>
  </si>
  <si>
    <t>Local</t>
  </si>
  <si>
    <t>Federal</t>
  </si>
  <si>
    <t>State</t>
  </si>
  <si>
    <t>% of Forecast</t>
  </si>
  <si>
    <t>Previous Yr's Actuals</t>
  </si>
  <si>
    <t>Salaries</t>
  </si>
  <si>
    <t>Benefits</t>
  </si>
  <si>
    <t>Prof &amp; Technical Services</t>
  </si>
  <si>
    <t>Purchased Property Services</t>
  </si>
  <si>
    <t>Other Purchase Services</t>
  </si>
  <si>
    <t>Supplies and Materials</t>
  </si>
  <si>
    <t>Property, Equipment</t>
  </si>
  <si>
    <t>Debt Service and Misc</t>
  </si>
  <si>
    <t xml:space="preserve">Total 1000:     </t>
  </si>
  <si>
    <t xml:space="preserve">Total 3000:     </t>
  </si>
  <si>
    <t>Regular School Prgm K-12</t>
  </si>
  <si>
    <t>Special Education -- Add-On</t>
  </si>
  <si>
    <t>Special Education -- Self-Contained</t>
  </si>
  <si>
    <t>School Land Trust Program</t>
  </si>
  <si>
    <t>Charter School Local Replacement</t>
  </si>
  <si>
    <t>Educator Salary Adjustment</t>
  </si>
  <si>
    <t xml:space="preserve">Total 4000:     </t>
  </si>
  <si>
    <t>IDEA Part-B</t>
  </si>
  <si>
    <t>Title IA</t>
  </si>
  <si>
    <t>Title IIA</t>
  </si>
  <si>
    <t xml:space="preserve">Total Revenue:     </t>
  </si>
  <si>
    <t xml:space="preserve">Total 100:     </t>
  </si>
  <si>
    <t xml:space="preserve">Total 200:     </t>
  </si>
  <si>
    <t>Retirement</t>
  </si>
  <si>
    <t>Worker's Compensation Fund</t>
  </si>
  <si>
    <t>Unemployment Insurance</t>
  </si>
  <si>
    <t xml:space="preserve">Total 300:     </t>
  </si>
  <si>
    <t xml:space="preserve">Total 400:     </t>
  </si>
  <si>
    <t xml:space="preserve">Total 500:     </t>
  </si>
  <si>
    <t xml:space="preserve">Total 600:     </t>
  </si>
  <si>
    <t xml:space="preserve">Total 700:     </t>
  </si>
  <si>
    <t xml:space="preserve">Total 800:     </t>
  </si>
  <si>
    <t xml:space="preserve">Total Expenses:          </t>
  </si>
  <si>
    <t>Budget Detail Report</t>
  </si>
  <si>
    <t xml:space="preserve">Fund Reserve:          </t>
  </si>
  <si>
    <t xml:space="preserve">Reserve Funds Used in Year:          </t>
  </si>
  <si>
    <t>Enrollment</t>
  </si>
  <si>
    <t>Total</t>
  </si>
  <si>
    <t>Cash Flow</t>
  </si>
  <si>
    <t>Unrestricted Cash</t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</si>
  <si>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</si>
  <si>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</si>
  <si>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</si>
  <si>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</si>
  <si>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</si>
  <si>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</si>
  <si>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</si>
  <si>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</si>
  <si>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</si>
  <si>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</si>
  <si>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</si>
  <si>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June</t>
  </si>
  <si>
    <t>High</t>
  </si>
  <si>
    <t>Low</t>
  </si>
  <si>
    <t>FY11 - Unrestricted Cash</t>
  </si>
  <si>
    <t>FY08</t>
  </si>
  <si>
    <t>FY09</t>
  </si>
  <si>
    <t>FY10</t>
  </si>
  <si>
    <t>FY11</t>
  </si>
  <si>
    <t>One Time items</t>
  </si>
  <si>
    <t>Fund Balance</t>
  </si>
  <si>
    <t>Carryforward</t>
  </si>
  <si>
    <t>Normal Revenues</t>
  </si>
  <si>
    <t>Normal Expenses</t>
  </si>
  <si>
    <t>K</t>
  </si>
  <si>
    <t>Count</t>
  </si>
  <si>
    <t>FY12</t>
  </si>
  <si>
    <t>FY13</t>
  </si>
  <si>
    <t>FY14</t>
  </si>
  <si>
    <t>Debt / Leases / Obligations</t>
  </si>
  <si>
    <t>Vendor</t>
  </si>
  <si>
    <t>Principal</t>
  </si>
  <si>
    <t>Interest Rate</t>
  </si>
  <si>
    <t>Maturity Date</t>
  </si>
  <si>
    <t>Start Date</t>
  </si>
  <si>
    <t>Length</t>
  </si>
  <si>
    <t>Comparable Stats</t>
  </si>
  <si>
    <t>FY07</t>
  </si>
  <si>
    <t>Per Student</t>
  </si>
  <si>
    <t>Idaho</t>
  </si>
  <si>
    <t>Puerto Rico</t>
  </si>
  <si>
    <t>Venture</t>
  </si>
  <si>
    <t>National Average</t>
  </si>
  <si>
    <t>Created by Red Apple</t>
  </si>
  <si>
    <t>Monthly Repayment</t>
  </si>
  <si>
    <t>Annual Repayment</t>
  </si>
  <si>
    <t>Utah funding per student</t>
  </si>
  <si>
    <t>Funding per student</t>
  </si>
  <si>
    <t>Facility Cost per Student</t>
  </si>
  <si>
    <t>Facility Cost as a percentage of total Revenues</t>
  </si>
  <si>
    <t>Annual Facility Cost</t>
  </si>
  <si>
    <t>Noah Webster</t>
  </si>
  <si>
    <t>The Ranches Acad</t>
  </si>
  <si>
    <t>Enthoes</t>
  </si>
  <si>
    <t>Thomas Edison</t>
  </si>
  <si>
    <t>DaVinci</t>
  </si>
  <si>
    <t>Dual Immersion</t>
  </si>
  <si>
    <t>Good Foundations</t>
  </si>
  <si>
    <t>Percentage</t>
  </si>
  <si>
    <t>Salaries &amp; Contractors as a percentage of total expenses</t>
  </si>
  <si>
    <t>Compensation</t>
  </si>
  <si>
    <t>Total Expenses</t>
  </si>
  <si>
    <t>% of Expenses</t>
  </si>
  <si>
    <t>Retirement Contributions</t>
  </si>
  <si>
    <t>Funds Left for programs (Total Revenue - (Labor + Benefits + Facilities))</t>
  </si>
  <si>
    <t>Match</t>
  </si>
  <si>
    <t>Profit Share</t>
  </si>
  <si>
    <t>Labor</t>
  </si>
  <si>
    <t>Facilities</t>
  </si>
  <si>
    <t>Program</t>
  </si>
  <si>
    <t>URS (pension)</t>
  </si>
  <si>
    <t>Students</t>
  </si>
  <si>
    <t>Prgm per Student</t>
  </si>
  <si>
    <t>**State funds; Liquor tax and Special Education Excluded</t>
  </si>
  <si>
    <t>New York (Highest)</t>
  </si>
  <si>
    <t>Utah (Lowest)</t>
  </si>
  <si>
    <t>Michigan (Median)</t>
  </si>
  <si>
    <t>**2007-2008 Funding numbers (most recent available)</t>
  </si>
  <si>
    <t>FY02</t>
  </si>
  <si>
    <t>Christian Heritage</t>
  </si>
  <si>
    <t>Library Books &amp; Materials</t>
  </si>
  <si>
    <t>Total Revenue</t>
  </si>
  <si>
    <t>Net Income from Operations</t>
  </si>
  <si>
    <t>J</t>
  </si>
  <si>
    <t>A</t>
  </si>
  <si>
    <t>S</t>
  </si>
  <si>
    <t>O</t>
  </si>
  <si>
    <t>N</t>
  </si>
  <si>
    <t>D</t>
  </si>
  <si>
    <t>F</t>
  </si>
  <si>
    <t>M</t>
  </si>
  <si>
    <t>Check Figure</t>
  </si>
  <si>
    <t>Ending Cash Balance</t>
  </si>
  <si>
    <t>Goal</t>
  </si>
  <si>
    <t>Financial Summary</t>
  </si>
  <si>
    <t>CASH</t>
  </si>
  <si>
    <t>Operating Margin</t>
  </si>
  <si>
    <t>RESERVES</t>
  </si>
  <si>
    <t>Expenses from Reserves</t>
  </si>
  <si>
    <t>Reserves Added this Year</t>
  </si>
  <si>
    <t>ENROLLMENT</t>
  </si>
  <si>
    <t>Days Cash on Hand</t>
  </si>
  <si>
    <t>BUDGET REPORT</t>
  </si>
  <si>
    <t>RATIOS</t>
  </si>
  <si>
    <t>Debt Service Coverage</t>
  </si>
  <si>
    <t>Actual Ytd</t>
  </si>
  <si>
    <t>Actuals</t>
  </si>
  <si>
    <t>Approved</t>
  </si>
  <si>
    <t>% of</t>
  </si>
  <si>
    <t>Year-to Date</t>
  </si>
  <si>
    <t>Revenues</t>
  </si>
  <si>
    <t>Bank Account</t>
  </si>
  <si>
    <t>Monthly Revenue to Expenses</t>
  </si>
  <si>
    <t>Special Education -- Extended Year</t>
  </si>
  <si>
    <t>Enhancement for At-Risk Students</t>
  </si>
  <si>
    <t>Teacher Materials and Supplies</t>
  </si>
  <si>
    <t>FICA (Social Security &amp; Medicare)</t>
  </si>
  <si>
    <t>Business Manager Services</t>
  </si>
  <si>
    <t>Variance</t>
  </si>
  <si>
    <t xml:space="preserve"> through the Year</t>
  </si>
  <si>
    <t>FY17 Oct 1</t>
  </si>
  <si>
    <t>WPU</t>
  </si>
  <si>
    <t>FY18 Oct 1</t>
  </si>
  <si>
    <t>FY18 WPU</t>
  </si>
  <si>
    <t>Regular School K-12</t>
  </si>
  <si>
    <t>Avg</t>
  </si>
  <si>
    <t>Weighting</t>
  </si>
  <si>
    <t>Est WPU</t>
  </si>
  <si>
    <t>Building Payment %</t>
  </si>
  <si>
    <t xml:space="preserve">as of </t>
  </si>
  <si>
    <t>Teacher and Student Success Act (TSSA)</t>
  </si>
  <si>
    <t>3% Goal</t>
  </si>
  <si>
    <t xml:space="preserve"> </t>
  </si>
  <si>
    <t>Suicide Prevention</t>
  </si>
  <si>
    <t>Net Pro/Loss</t>
  </si>
  <si>
    <t>TVs</t>
  </si>
  <si>
    <t>Ipads</t>
  </si>
  <si>
    <t>5 or 6</t>
  </si>
  <si>
    <t>15 ipads</t>
  </si>
  <si>
    <t>Summer School</t>
  </si>
  <si>
    <t>Stipend for curriculum dev</t>
  </si>
  <si>
    <t>Flexible seating (furniture)</t>
  </si>
  <si>
    <t>Lower blinds (furniture)</t>
  </si>
  <si>
    <t xml:space="preserve">  few other things</t>
  </si>
  <si>
    <t>100 a window</t>
  </si>
  <si>
    <t>2 classrooms</t>
  </si>
  <si>
    <t>ESSER II</t>
  </si>
  <si>
    <t>CS Funding Base Program</t>
  </si>
  <si>
    <t>Interest Income</t>
  </si>
  <si>
    <t>Teachers</t>
  </si>
  <si>
    <t>Employee Training &amp; Development</t>
  </si>
  <si>
    <t>Instructional Services</t>
  </si>
  <si>
    <t>Travel-Staff Travel &amp; Mileage</t>
  </si>
  <si>
    <t>Maintenance &amp; Custodial Supplies</t>
  </si>
  <si>
    <t>Health Benefits</t>
  </si>
  <si>
    <t>Computer and Tech Hardware</t>
  </si>
  <si>
    <t>Class Size Reduction K-8</t>
  </si>
  <si>
    <t>Lunch Program</t>
  </si>
  <si>
    <t>Advertising</t>
  </si>
  <si>
    <t>Food and Lunch Prgm Supplies</t>
  </si>
  <si>
    <t>Technology Hardware &amp; Software</t>
  </si>
  <si>
    <t>Special Education -- Ext Yr Stipends</t>
  </si>
  <si>
    <t>Special Education -- Impact Aid</t>
  </si>
  <si>
    <t>CSI</t>
  </si>
  <si>
    <t>Audit</t>
  </si>
  <si>
    <t>Lawn Care and Snow Removal?  $200 Simon</t>
  </si>
  <si>
    <t>Gifted - Coding by Art/Library Teacher</t>
  </si>
  <si>
    <t>Stipend - Victoria Rogerson - 8 hrs x $16</t>
  </si>
  <si>
    <t>Want RDA grant $25k - towards Laura</t>
  </si>
  <si>
    <t>Xtreme Snow</t>
  </si>
  <si>
    <t>Paraprofessionals</t>
  </si>
  <si>
    <t>Dues and Fees and Banking Fees</t>
  </si>
  <si>
    <t>Utilities (Water, Sewer &amp; Disposal)</t>
  </si>
  <si>
    <t>Liability &amp; Property Insurance &amp; Treasurer's</t>
  </si>
  <si>
    <t>6% WPU</t>
  </si>
  <si>
    <t>7% LRF</t>
  </si>
  <si>
    <t>Bonuses for certified staff</t>
  </si>
  <si>
    <t>4 teacher prep days</t>
  </si>
  <si>
    <t>Revolving Loan - paid off July 2022</t>
  </si>
  <si>
    <t>Close to break even before increased costs are considered</t>
  </si>
  <si>
    <t xml:space="preserve">  at 306 students</t>
  </si>
  <si>
    <t>Zions Bank - about 8 bills, instant payments, USBE revolving loan</t>
  </si>
  <si>
    <t>Donations</t>
  </si>
  <si>
    <t>Miscellaneous</t>
  </si>
  <si>
    <t>Student Activities</t>
  </si>
  <si>
    <t>Student Health &amp; Counseling (Mental Hlth)</t>
  </si>
  <si>
    <t>Electronic Cigarette Substance</t>
  </si>
  <si>
    <t>English Language Learners Software</t>
  </si>
  <si>
    <t>(230 Students)</t>
  </si>
  <si>
    <t>Educator Professional Time (Stipend)</t>
  </si>
  <si>
    <t>Substitute Teachers</t>
  </si>
  <si>
    <t>Attendance &amp; Social Workers</t>
  </si>
  <si>
    <t>Guidance Counselor</t>
  </si>
  <si>
    <t>Secretarial &amp; Clerical</t>
  </si>
  <si>
    <t>Custodial &amp; Maintenance</t>
  </si>
  <si>
    <t>School Event Services (Dances)</t>
  </si>
  <si>
    <t>Translation Services</t>
  </si>
  <si>
    <t>IT Services (H-wire / Onward Tech / Zoom)</t>
  </si>
  <si>
    <t>Lease of Facility</t>
  </si>
  <si>
    <t>Student Day Trips / Field Trips</t>
  </si>
  <si>
    <t>UTA Bus Passes / Transit Passes</t>
  </si>
  <si>
    <t>Textbooks (Physical Form)</t>
  </si>
  <si>
    <t>Office / Admin Supplies</t>
  </si>
  <si>
    <t>Indirect Costs - Non Restricted</t>
  </si>
  <si>
    <t>Special Education Director &amp; Teacher</t>
  </si>
  <si>
    <t>Summer School Teachers</t>
  </si>
  <si>
    <t>EXPENSE PIE GRAPH</t>
  </si>
  <si>
    <t>Telephone, Internet &amp; Postage</t>
  </si>
  <si>
    <t>Stipends</t>
  </si>
  <si>
    <t>School Lunch (Liquor Control)</t>
  </si>
  <si>
    <t>Transportation Fees</t>
  </si>
  <si>
    <t>Contingency</t>
  </si>
  <si>
    <t>Approved FY24 Budget</t>
  </si>
  <si>
    <t>(245 Students)</t>
  </si>
  <si>
    <t>Net Profit/Loss</t>
  </si>
  <si>
    <t>Equipment</t>
  </si>
  <si>
    <t>Misc Expense</t>
  </si>
  <si>
    <t>Flexible Allocaiton</t>
  </si>
  <si>
    <t>Equipment Lease</t>
  </si>
  <si>
    <t>Classroom/General Supplies</t>
  </si>
  <si>
    <t>Custodial/Cleaning</t>
  </si>
  <si>
    <t>PTIF Reserve Balance</t>
  </si>
  <si>
    <t>New PTIF Reserve Balance</t>
  </si>
  <si>
    <t>Board Supplies</t>
  </si>
  <si>
    <t>Changes</t>
  </si>
  <si>
    <t>24 Comprehensive CSI</t>
  </si>
  <si>
    <t>Student Event Supplies</t>
  </si>
  <si>
    <t>School Safety Specialist</t>
  </si>
  <si>
    <t>Master Pilot Program</t>
  </si>
  <si>
    <t>Salary Supp for Highly Needed (SSHINE)</t>
  </si>
  <si>
    <t>School Based Education Support Stipend</t>
  </si>
  <si>
    <t>School Fees Amendements</t>
  </si>
  <si>
    <t>CSI Low Graduation</t>
  </si>
  <si>
    <t>CSI Low Performance</t>
  </si>
  <si>
    <t>Repairs &amp; Maintenance/ Snow Removal</t>
  </si>
  <si>
    <t>Principals &amp; Administration</t>
  </si>
  <si>
    <t>Drivers Ed Services</t>
  </si>
  <si>
    <t>FY26
 Actuals</t>
  </si>
  <si>
    <t>FY26   Forecast</t>
  </si>
  <si>
    <t>FY27
Forecast</t>
  </si>
  <si>
    <t>1920a</t>
  </si>
  <si>
    <t>Sprouts Donations</t>
  </si>
  <si>
    <t>(190 Students)</t>
  </si>
  <si>
    <t>STEM Action Center</t>
  </si>
  <si>
    <t>DWS ORR Mentoring Grant</t>
  </si>
  <si>
    <t>ELSA</t>
  </si>
  <si>
    <t>Refugee Service Impact</t>
  </si>
  <si>
    <t>Grow Your Own Teacher</t>
  </si>
  <si>
    <t>Assessment to Achievement</t>
  </si>
  <si>
    <t>WPU 4.2% Increase</t>
  </si>
  <si>
    <t>4.5% Increase or $165/Student</t>
  </si>
  <si>
    <t>$3,793/Student</t>
  </si>
  <si>
    <t>3% raise proposal</t>
  </si>
  <si>
    <t>1% Goal</t>
  </si>
  <si>
    <t>(233 Students)</t>
  </si>
  <si>
    <t>75K</t>
  </si>
  <si>
    <t>100K</t>
  </si>
  <si>
    <t>Merilee Wendel &amp; TITLE I team</t>
  </si>
  <si>
    <t>TITLE III</t>
  </si>
  <si>
    <t>(200 Students)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</si>
</sst>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m/d/yyyy;@"/>
    <numFmt numFmtId="166" formatCode="_(* #,##0_);_(* \(#,##0\);_(* &quot;-&quot;??_);_(@_)"/>
    <numFmt numFmtId="167" formatCode="0.0000%"/>
    <numFmt numFmtId="168" formatCode="_(&quot;$&quot;* #,##0_);_(&quot;$&quot;* \(#,##0\);_(&quot;$&quot;* &quot;-&quot;??_);_(@_)"/>
    <numFmt numFmtId="169" formatCode="[$-409]mmmm\ d\,\ yyyy;@"/>
    <numFmt numFmtId="170" formatCode="0.000"/>
  </numFmts>
  <fonts count="5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Agency FB"/>
      <family val="2"/>
    </font>
    <font>
      <b/>
      <i/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2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22"/>
      <color theme="1"/>
      <name val="Times New Roman"/>
      <family val="1"/>
    </font>
    <font>
      <b/>
      <i/>
      <sz val="14"/>
      <color theme="1"/>
      <name val="Times New Roman"/>
      <family val="1"/>
    </font>
    <font>
      <sz val="16"/>
      <color theme="0"/>
      <name val="Times New Roman"/>
      <family val="1"/>
    </font>
    <font>
      <b/>
      <sz val="16"/>
      <color theme="0"/>
      <name val="Times New Roman"/>
      <family val="1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i/>
      <sz val="20"/>
      <color rgb="FF000000"/>
      <name val="Calibri"/>
      <family val="2"/>
    </font>
    <font>
      <i/>
      <sz val="20"/>
      <color rgb="FF000000"/>
      <name val="Arial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i/>
      <sz val="16"/>
      <color rgb="FFFFFFFF"/>
      <name val="Calibri"/>
      <family val="2"/>
    </font>
    <font>
      <sz val="11"/>
      <color rgb="FFFFFFFF"/>
      <name val="Calibri"/>
      <family val="2"/>
    </font>
    <font>
      <i/>
      <sz val="11"/>
      <color rgb="FF000000"/>
      <name val="Calibri"/>
      <family val="2"/>
    </font>
    <font>
      <sz val="11"/>
      <name val="Calibri"/>
      <family val="2"/>
    </font>
    <font>
      <sz val="16"/>
      <color rgb="FFFFFFFF"/>
      <name val="Calibri"/>
      <family val="2"/>
    </font>
    <font>
      <i/>
      <sz val="12"/>
      <color rgb="FFFFFFFF"/>
      <name val="Calibri"/>
      <family val="2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i/>
      <sz val="11"/>
      <color theme="0" tint="-4.9989318521683403E-2"/>
      <name val="Calibri"/>
      <family val="2"/>
      <scheme val="minor"/>
    </font>
    <font>
      <i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DDD9C3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2" tint="-0.749992370372631"/>
        <bgColor rgb="FF000000"/>
      </patternFill>
    </fill>
    <fill>
      <patternFill patternType="solid">
        <fgColor rgb="FF2D4513"/>
        <bgColor indexed="64"/>
      </patternFill>
    </fill>
    <fill>
      <patternFill patternType="solid">
        <fgColor rgb="FF2D4513"/>
        <bgColor rgb="FF000000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619428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auto="1"/>
      </right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3" fillId="0" borderId="0"/>
    <xf numFmtId="0" fontId="34" fillId="0" borderId="0"/>
    <xf numFmtId="0" fontId="33" fillId="0" borderId="0"/>
    <xf numFmtId="44" fontId="22" fillId="0" borderId="0" applyFont="0" applyFill="0" applyBorder="0" applyAlignment="0" applyProtection="0"/>
  </cellStyleXfs>
  <cellXfs count="357">
    <xf numFmtId="0" fontId="0" fillId="0" borderId="0" xfId="0"/>
    <xf numFmtId="9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2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2" fontId="0" fillId="0" borderId="7" xfId="0" applyNumberFormat="1" applyBorder="1"/>
    <xf numFmtId="0" fontId="0" fillId="2" borderId="0" xfId="0" applyFill="1"/>
    <xf numFmtId="42" fontId="0" fillId="2" borderId="7" xfId="0" applyNumberFormat="1" applyFill="1" applyBorder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2" fontId="0" fillId="0" borderId="0" xfId="0" applyNumberFormat="1" applyAlignment="1">
      <alignment horizontal="center"/>
    </xf>
    <xf numFmtId="0" fontId="6" fillId="0" borderId="0" xfId="0" applyFont="1"/>
    <xf numFmtId="42" fontId="0" fillId="0" borderId="15" xfId="0" applyNumberFormat="1" applyBorder="1"/>
    <xf numFmtId="0" fontId="1" fillId="4" borderId="15" xfId="0" applyFont="1" applyFill="1" applyBorder="1" applyAlignment="1">
      <alignment horizontal="center"/>
    </xf>
    <xf numFmtId="0" fontId="1" fillId="4" borderId="15" xfId="0" applyFont="1" applyFill="1" applyBorder="1"/>
    <xf numFmtId="0" fontId="3" fillId="0" borderId="0" xfId="0" applyFont="1"/>
    <xf numFmtId="0" fontId="1" fillId="0" borderId="0" xfId="0" applyFont="1"/>
    <xf numFmtId="42" fontId="0" fillId="5" borderId="7" xfId="0" applyNumberFormat="1" applyFill="1" applyBorder="1"/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42" fontId="0" fillId="0" borderId="12" xfId="0" applyNumberFormat="1" applyBorder="1"/>
    <xf numFmtId="0" fontId="4" fillId="0" borderId="20" xfId="0" applyFont="1" applyBorder="1" applyAlignment="1">
      <alignment horizontal="center"/>
    </xf>
    <xf numFmtId="42" fontId="8" fillId="0" borderId="0" xfId="0" applyNumberFormat="1" applyFont="1"/>
    <xf numFmtId="0" fontId="0" fillId="0" borderId="22" xfId="0" applyBorder="1"/>
    <xf numFmtId="164" fontId="11" fillId="0" borderId="0" xfId="0" applyNumberFormat="1" applyFont="1"/>
    <xf numFmtId="0" fontId="13" fillId="0" borderId="0" xfId="0" applyFont="1"/>
    <xf numFmtId="0" fontId="0" fillId="6" borderId="0" xfId="0" applyFill="1"/>
    <xf numFmtId="0" fontId="0" fillId="0" borderId="2" xfId="0" applyBorder="1"/>
    <xf numFmtId="42" fontId="10" fillId="0" borderId="0" xfId="0" applyNumberFormat="1" applyFont="1"/>
    <xf numFmtId="0" fontId="10" fillId="0" borderId="0" xfId="0" applyFont="1" applyAlignment="1">
      <alignment wrapText="1"/>
    </xf>
    <xf numFmtId="0" fontId="16" fillId="0" borderId="0" xfId="0" applyFont="1" applyAlignment="1">
      <alignment horizontal="center" wrapText="1"/>
    </xf>
    <xf numFmtId="0" fontId="10" fillId="0" borderId="0" xfId="0" applyFont="1"/>
    <xf numFmtId="42" fontId="15" fillId="0" borderId="0" xfId="0" applyNumberFormat="1" applyFont="1"/>
    <xf numFmtId="0" fontId="8" fillId="0" borderId="0" xfId="0" applyFont="1"/>
    <xf numFmtId="0" fontId="14" fillId="0" borderId="0" xfId="0" applyFont="1"/>
    <xf numFmtId="0" fontId="0" fillId="0" borderId="24" xfId="0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0" fillId="0" borderId="25" xfId="0" applyBorder="1" applyAlignment="1">
      <alignment wrapText="1"/>
    </xf>
    <xf numFmtId="42" fontId="0" fillId="0" borderId="23" xfId="0" applyNumberFormat="1" applyBorder="1"/>
    <xf numFmtId="10" fontId="0" fillId="0" borderId="0" xfId="0" applyNumberFormat="1"/>
    <xf numFmtId="0" fontId="0" fillId="0" borderId="2" xfId="0" applyBorder="1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0" fontId="0" fillId="0" borderId="23" xfId="0" applyNumberFormat="1" applyBorder="1" applyAlignment="1">
      <alignment horizontal="center"/>
    </xf>
    <xf numFmtId="10" fontId="0" fillId="0" borderId="0" xfId="0" applyNumberFormat="1" applyAlignment="1">
      <alignment horizontal="center"/>
    </xf>
    <xf numFmtId="42" fontId="1" fillId="6" borderId="0" xfId="0" applyNumberFormat="1" applyFont="1" applyFill="1" applyAlignment="1">
      <alignment horizontal="center" vertical="center" wrapText="1"/>
    </xf>
    <xf numFmtId="10" fontId="1" fillId="6" borderId="0" xfId="0" applyNumberFormat="1" applyFont="1" applyFill="1" applyAlignment="1">
      <alignment horizontal="center" vertical="center" wrapText="1"/>
    </xf>
    <xf numFmtId="165" fontId="1" fillId="6" borderId="0" xfId="0" applyNumberFormat="1" applyFont="1" applyFill="1" applyAlignment="1">
      <alignment horizontal="center" vertical="center" wrapText="1"/>
    </xf>
    <xf numFmtId="14" fontId="1" fillId="6" borderId="0" xfId="0" applyNumberFormat="1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10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10" xfId="0" applyBorder="1"/>
    <xf numFmtId="42" fontId="0" fillId="0" borderId="10" xfId="0" applyNumberFormat="1" applyBorder="1"/>
    <xf numFmtId="10" fontId="0" fillId="0" borderId="10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0" xfId="0" applyFill="1"/>
    <xf numFmtId="0" fontId="1" fillId="3" borderId="0" xfId="0" applyFont="1" applyFill="1"/>
    <xf numFmtId="0" fontId="17" fillId="3" borderId="0" xfId="0" applyFont="1" applyFill="1"/>
    <xf numFmtId="0" fontId="4" fillId="0" borderId="0" xfId="0" applyFont="1" applyAlignment="1">
      <alignment horizontal="center"/>
    </xf>
    <xf numFmtId="0" fontId="0" fillId="7" borderId="0" xfId="0" applyFill="1"/>
    <xf numFmtId="0" fontId="10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0" fontId="1" fillId="3" borderId="0" xfId="0" applyNumberFormat="1" applyFont="1" applyFill="1"/>
    <xf numFmtId="164" fontId="0" fillId="0" borderId="7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2" borderId="27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0" fontId="0" fillId="2" borderId="7" xfId="0" applyFill="1" applyBorder="1"/>
    <xf numFmtId="10" fontId="0" fillId="2" borderId="7" xfId="0" applyNumberForma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4" fontId="0" fillId="2" borderId="7" xfId="0" applyNumberForma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42" fontId="0" fillId="0" borderId="2" xfId="0" applyNumberFormat="1" applyBorder="1"/>
    <xf numFmtId="14" fontId="0" fillId="0" borderId="2" xfId="0" applyNumberFormat="1" applyBorder="1" applyAlignment="1">
      <alignment horizontal="center"/>
    </xf>
    <xf numFmtId="0" fontId="18" fillId="0" borderId="0" xfId="0" applyFont="1"/>
    <xf numFmtId="0" fontId="19" fillId="3" borderId="0" xfId="0" applyFont="1" applyFill="1"/>
    <xf numFmtId="0" fontId="20" fillId="0" borderId="0" xfId="0" applyFont="1" applyAlignment="1">
      <alignment horizontal="center"/>
    </xf>
    <xf numFmtId="42" fontId="21" fillId="5" borderId="7" xfId="0" applyNumberFormat="1" applyFont="1" applyFill="1" applyBorder="1"/>
    <xf numFmtId="0" fontId="9" fillId="0" borderId="0" xfId="0" applyFont="1"/>
    <xf numFmtId="42" fontId="9" fillId="0" borderId="0" xfId="0" applyNumberFormat="1" applyFont="1"/>
    <xf numFmtId="0" fontId="23" fillId="0" borderId="0" xfId="0" applyFont="1"/>
    <xf numFmtId="0" fontId="15" fillId="0" borderId="0" xfId="0" applyFont="1"/>
    <xf numFmtId="0" fontId="24" fillId="0" borderId="0" xfId="0" applyFont="1"/>
    <xf numFmtId="0" fontId="25" fillId="0" borderId="0" xfId="0" applyFont="1"/>
    <xf numFmtId="0" fontId="16" fillId="0" borderId="0" xfId="0" applyFont="1" applyAlignment="1">
      <alignment horizontal="left" indent="2"/>
    </xf>
    <xf numFmtId="42" fontId="15" fillId="0" borderId="30" xfId="0" applyNumberFormat="1" applyFont="1" applyBorder="1"/>
    <xf numFmtId="42" fontId="9" fillId="0" borderId="7" xfId="0" applyNumberFormat="1" applyFont="1" applyBorder="1"/>
    <xf numFmtId="42" fontId="10" fillId="0" borderId="7" xfId="0" applyNumberFormat="1" applyFont="1" applyBorder="1"/>
    <xf numFmtId="42" fontId="15" fillId="0" borderId="7" xfId="0" applyNumberFormat="1" applyFont="1" applyBorder="1"/>
    <xf numFmtId="0" fontId="9" fillId="0" borderId="7" xfId="0" applyFont="1" applyBorder="1"/>
    <xf numFmtId="0" fontId="16" fillId="0" borderId="7" xfId="0" applyFont="1" applyBorder="1" applyAlignment="1">
      <alignment horizontal="center" vertical="top" wrapText="1"/>
    </xf>
    <xf numFmtId="42" fontId="26" fillId="0" borderId="9" xfId="0" applyNumberFormat="1" applyFont="1" applyBorder="1"/>
    <xf numFmtId="9" fontId="23" fillId="0" borderId="0" xfId="1" applyFont="1" applyFill="1" applyBorder="1" applyAlignment="1">
      <alignment horizontal="center"/>
    </xf>
    <xf numFmtId="42" fontId="25" fillId="0" borderId="0" xfId="0" applyNumberFormat="1" applyFont="1"/>
    <xf numFmtId="0" fontId="25" fillId="0" borderId="28" xfId="0" applyFont="1" applyBorder="1"/>
    <xf numFmtId="42" fontId="25" fillId="0" borderId="19" xfId="0" applyNumberFormat="1" applyFont="1" applyBorder="1"/>
    <xf numFmtId="0" fontId="16" fillId="0" borderId="29" xfId="0" applyFont="1" applyBorder="1" applyAlignment="1">
      <alignment horizontal="left" indent="2"/>
    </xf>
    <xf numFmtId="0" fontId="15" fillId="0" borderId="29" xfId="0" applyFont="1" applyBorder="1"/>
    <xf numFmtId="42" fontId="27" fillId="0" borderId="19" xfId="0" applyNumberFormat="1" applyFont="1" applyBorder="1"/>
    <xf numFmtId="0" fontId="14" fillId="0" borderId="0" xfId="0" applyFont="1" applyAlignment="1">
      <alignment vertical="center"/>
    </xf>
    <xf numFmtId="164" fontId="11" fillId="0" borderId="0" xfId="0" applyNumberFormat="1" applyFont="1" applyAlignment="1">
      <alignment horizontal="right"/>
    </xf>
    <xf numFmtId="0" fontId="16" fillId="0" borderId="0" xfId="0" applyFont="1"/>
    <xf numFmtId="166" fontId="16" fillId="0" borderId="0" xfId="2" applyNumberFormat="1" applyFont="1" applyFill="1" applyBorder="1"/>
    <xf numFmtId="42" fontId="16" fillId="0" borderId="0" xfId="0" applyNumberFormat="1" applyFont="1"/>
    <xf numFmtId="42" fontId="25" fillId="0" borderId="15" xfId="0" applyNumberFormat="1" applyFont="1" applyBorder="1"/>
    <xf numFmtId="0" fontId="4" fillId="0" borderId="10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center" vertical="top" wrapText="1"/>
    </xf>
    <xf numFmtId="42" fontId="26" fillId="0" borderId="0" xfId="0" applyNumberFormat="1" applyFont="1"/>
    <xf numFmtId="0" fontId="6" fillId="0" borderId="0" xfId="0" applyFont="1" applyAlignment="1">
      <alignment horizontal="right"/>
    </xf>
    <xf numFmtId="0" fontId="4" fillId="0" borderId="35" xfId="0" applyFont="1" applyBorder="1" applyAlignment="1">
      <alignment horizontal="center"/>
    </xf>
    <xf numFmtId="166" fontId="10" fillId="0" borderId="0" xfId="2" applyNumberFormat="1" applyFont="1" applyFill="1" applyBorder="1"/>
    <xf numFmtId="0" fontId="4" fillId="0" borderId="36" xfId="0" applyFont="1" applyBorder="1" applyAlignment="1">
      <alignment horizontal="center"/>
    </xf>
    <xf numFmtId="0" fontId="10" fillId="0" borderId="7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9" fontId="0" fillId="0" borderId="15" xfId="0" applyNumberFormat="1" applyBorder="1"/>
    <xf numFmtId="0" fontId="0" fillId="0" borderId="15" xfId="0" applyBorder="1"/>
    <xf numFmtId="0" fontId="16" fillId="0" borderId="0" xfId="0" applyFont="1" applyAlignment="1">
      <alignment wrapText="1"/>
    </xf>
    <xf numFmtId="0" fontId="16" fillId="0" borderId="8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42" fontId="9" fillId="0" borderId="8" xfId="0" applyNumberFormat="1" applyFont="1" applyBorder="1"/>
    <xf numFmtId="42" fontId="15" fillId="0" borderId="8" xfId="0" applyNumberFormat="1" applyFont="1" applyBorder="1"/>
    <xf numFmtId="42" fontId="10" fillId="0" borderId="8" xfId="0" applyNumberFormat="1" applyFont="1" applyBorder="1"/>
    <xf numFmtId="0" fontId="9" fillId="0" borderId="8" xfId="0" applyFont="1" applyBorder="1"/>
    <xf numFmtId="42" fontId="15" fillId="0" borderId="37" xfId="0" applyNumberFormat="1" applyFont="1" applyBorder="1"/>
    <xf numFmtId="42" fontId="26" fillId="0" borderId="21" xfId="0" applyNumberFormat="1" applyFont="1" applyBorder="1"/>
    <xf numFmtId="42" fontId="10" fillId="0" borderId="10" xfId="0" applyNumberFormat="1" applyFont="1" applyBorder="1"/>
    <xf numFmtId="42" fontId="24" fillId="0" borderId="0" xfId="0" applyNumberFormat="1" applyFont="1"/>
    <xf numFmtId="0" fontId="29" fillId="0" borderId="0" xfId="0" applyFont="1" applyAlignment="1">
      <alignment horizontal="center"/>
    </xf>
    <xf numFmtId="42" fontId="4" fillId="0" borderId="15" xfId="0" applyNumberFormat="1" applyFont="1" applyBorder="1"/>
    <xf numFmtId="0" fontId="32" fillId="0" borderId="0" xfId="0" applyFont="1"/>
    <xf numFmtId="166" fontId="0" fillId="0" borderId="0" xfId="0" applyNumberFormat="1"/>
    <xf numFmtId="166" fontId="0" fillId="0" borderId="15" xfId="2" applyNumberFormat="1" applyFont="1" applyBorder="1"/>
    <xf numFmtId="0" fontId="0" fillId="0" borderId="15" xfId="0" applyBorder="1" applyAlignment="1">
      <alignment horizontal="right" wrapText="1"/>
    </xf>
    <xf numFmtId="0" fontId="35" fillId="0" borderId="0" xfId="0" applyFont="1"/>
    <xf numFmtId="0" fontId="36" fillId="0" borderId="0" xfId="0" applyFont="1"/>
    <xf numFmtId="0" fontId="37" fillId="0" borderId="0" xfId="0" applyFont="1"/>
    <xf numFmtId="0" fontId="35" fillId="0" borderId="0" xfId="0" applyFont="1" applyAlignment="1">
      <alignment horizontal="right"/>
    </xf>
    <xf numFmtId="0" fontId="35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5" fillId="0" borderId="0" xfId="0" applyFont="1" applyAlignment="1">
      <alignment wrapText="1"/>
    </xf>
    <xf numFmtId="0" fontId="39" fillId="0" borderId="8" xfId="0" applyFont="1" applyBorder="1" applyAlignment="1">
      <alignment horizontal="center" wrapText="1"/>
    </xf>
    <xf numFmtId="0" fontId="39" fillId="0" borderId="0" xfId="0" applyFont="1" applyAlignment="1">
      <alignment horizontal="center" wrapText="1"/>
    </xf>
    <xf numFmtId="0" fontId="39" fillId="0" borderId="7" xfId="0" applyFont="1" applyBorder="1" applyAlignment="1">
      <alignment horizontal="center" wrapText="1"/>
    </xf>
    <xf numFmtId="42" fontId="41" fillId="0" borderId="0" xfId="0" applyNumberFormat="1" applyFont="1"/>
    <xf numFmtId="42" fontId="35" fillId="0" borderId="0" xfId="0" applyNumberFormat="1" applyFont="1"/>
    <xf numFmtId="42" fontId="35" fillId="0" borderId="7" xfId="0" applyNumberFormat="1" applyFont="1" applyBorder="1"/>
    <xf numFmtId="42" fontId="35" fillId="0" borderId="8" xfId="0" applyNumberFormat="1" applyFont="1" applyBorder="1"/>
    <xf numFmtId="164" fontId="35" fillId="0" borderId="7" xfId="0" applyNumberFormat="1" applyFont="1" applyBorder="1"/>
    <xf numFmtId="0" fontId="35" fillId="8" borderId="0" xfId="0" applyFont="1" applyFill="1"/>
    <xf numFmtId="42" fontId="35" fillId="8" borderId="7" xfId="0" applyNumberFormat="1" applyFont="1" applyFill="1" applyBorder="1"/>
    <xf numFmtId="42" fontId="35" fillId="8" borderId="0" xfId="0" applyNumberFormat="1" applyFont="1" applyFill="1"/>
    <xf numFmtId="0" fontId="42" fillId="0" borderId="3" xfId="0" applyFont="1" applyBorder="1"/>
    <xf numFmtId="0" fontId="42" fillId="0" borderId="3" xfId="0" applyFont="1" applyBorder="1" applyAlignment="1">
      <alignment horizontal="right"/>
    </xf>
    <xf numFmtId="42" fontId="42" fillId="0" borderId="12" xfId="0" applyNumberFormat="1" applyFont="1" applyBorder="1"/>
    <xf numFmtId="42" fontId="42" fillId="0" borderId="0" xfId="0" applyNumberFormat="1" applyFont="1"/>
    <xf numFmtId="42" fontId="42" fillId="0" borderId="11" xfId="0" applyNumberFormat="1" applyFont="1" applyBorder="1"/>
    <xf numFmtId="164" fontId="42" fillId="0" borderId="12" xfId="0" applyNumberFormat="1" applyFont="1" applyBorder="1"/>
    <xf numFmtId="164" fontId="35" fillId="0" borderId="0" xfId="0" applyNumberFormat="1" applyFont="1"/>
    <xf numFmtId="164" fontId="43" fillId="0" borderId="7" xfId="0" applyNumberFormat="1" applyFont="1" applyBorder="1"/>
    <xf numFmtId="0" fontId="35" fillId="0" borderId="3" xfId="0" applyFont="1" applyBorder="1"/>
    <xf numFmtId="0" fontId="35" fillId="0" borderId="4" xfId="0" applyFont="1" applyBorder="1"/>
    <xf numFmtId="0" fontId="42" fillId="0" borderId="4" xfId="0" applyFont="1" applyBorder="1"/>
    <xf numFmtId="0" fontId="42" fillId="0" borderId="4" xfId="0" applyFont="1" applyBorder="1" applyAlignment="1">
      <alignment horizontal="right"/>
    </xf>
    <xf numFmtId="42" fontId="42" fillId="0" borderId="14" xfId="0" applyNumberFormat="1" applyFont="1" applyBorder="1"/>
    <xf numFmtId="42" fontId="42" fillId="0" borderId="4" xfId="0" applyNumberFormat="1" applyFont="1" applyBorder="1"/>
    <xf numFmtId="42" fontId="42" fillId="0" borderId="13" xfId="0" applyNumberFormat="1" applyFont="1" applyBorder="1"/>
    <xf numFmtId="164" fontId="42" fillId="0" borderId="14" xfId="0" applyNumberFormat="1" applyFont="1" applyBorder="1"/>
    <xf numFmtId="0" fontId="35" fillId="0" borderId="6" xfId="0" applyFont="1" applyBorder="1"/>
    <xf numFmtId="42" fontId="35" fillId="0" borderId="6" xfId="0" applyNumberFormat="1" applyFont="1" applyBorder="1"/>
    <xf numFmtId="164" fontId="35" fillId="0" borderId="6" xfId="0" applyNumberFormat="1" applyFont="1" applyBorder="1"/>
    <xf numFmtId="42" fontId="45" fillId="0" borderId="0" xfId="0" applyNumberFormat="1" applyFont="1"/>
    <xf numFmtId="0" fontId="4" fillId="0" borderId="27" xfId="0" applyFont="1" applyBorder="1" applyAlignment="1">
      <alignment horizontal="center"/>
    </xf>
    <xf numFmtId="42" fontId="35" fillId="9" borderId="7" xfId="0" applyNumberFormat="1" applyFont="1" applyFill="1" applyBorder="1"/>
    <xf numFmtId="42" fontId="35" fillId="9" borderId="0" xfId="0" applyNumberFormat="1" applyFont="1" applyFill="1"/>
    <xf numFmtId="0" fontId="45" fillId="10" borderId="0" xfId="0" applyFont="1" applyFill="1"/>
    <xf numFmtId="0" fontId="45" fillId="10" borderId="0" xfId="0" applyFont="1" applyFill="1" applyAlignment="1">
      <alignment horizontal="right"/>
    </xf>
    <xf numFmtId="42" fontId="45" fillId="10" borderId="0" xfId="0" applyNumberFormat="1" applyFont="1" applyFill="1"/>
    <xf numFmtId="164" fontId="45" fillId="10" borderId="0" xfId="0" applyNumberFormat="1" applyFont="1" applyFill="1"/>
    <xf numFmtId="42" fontId="10" fillId="2" borderId="7" xfId="0" applyNumberFormat="1" applyFont="1" applyFill="1" applyBorder="1"/>
    <xf numFmtId="0" fontId="16" fillId="0" borderId="0" xfId="0" applyFont="1" applyAlignment="1">
      <alignment horizontal="left"/>
    </xf>
    <xf numFmtId="164" fontId="26" fillId="0" borderId="0" xfId="1" applyNumberFormat="1" applyFont="1" applyFill="1" applyBorder="1" applyAlignment="1">
      <alignment horizontal="center"/>
    </xf>
    <xf numFmtId="0" fontId="7" fillId="11" borderId="35" xfId="0" applyFont="1" applyFill="1" applyBorder="1" applyAlignment="1">
      <alignment horizontal="center" vertical="center" wrapText="1"/>
    </xf>
    <xf numFmtId="0" fontId="7" fillId="11" borderId="31" xfId="0" applyFont="1" applyFill="1" applyBorder="1" applyAlignment="1">
      <alignment horizontal="center" vertical="center" wrapText="1"/>
    </xf>
    <xf numFmtId="0" fontId="7" fillId="11" borderId="32" xfId="0" applyFont="1" applyFill="1" applyBorder="1" applyAlignment="1">
      <alignment horizontal="center" vertical="center" wrapText="1"/>
    </xf>
    <xf numFmtId="0" fontId="41" fillId="12" borderId="0" xfId="0" applyFont="1" applyFill="1"/>
    <xf numFmtId="0" fontId="35" fillId="12" borderId="0" xfId="0" applyFont="1" applyFill="1"/>
    <xf numFmtId="0" fontId="45" fillId="12" borderId="0" xfId="0" applyFont="1" applyFill="1" applyAlignment="1">
      <alignment horizontal="right"/>
    </xf>
    <xf numFmtId="42" fontId="45" fillId="12" borderId="0" xfId="0" applyNumberFormat="1" applyFont="1" applyFill="1"/>
    <xf numFmtId="164" fontId="45" fillId="12" borderId="0" xfId="0" applyNumberFormat="1" applyFont="1" applyFill="1"/>
    <xf numFmtId="0" fontId="35" fillId="2" borderId="0" xfId="0" applyFont="1" applyFill="1"/>
    <xf numFmtId="42" fontId="35" fillId="2" borderId="7" xfId="0" applyNumberFormat="1" applyFont="1" applyFill="1" applyBorder="1"/>
    <xf numFmtId="42" fontId="35" fillId="2" borderId="0" xfId="0" applyNumberFormat="1" applyFont="1" applyFill="1"/>
    <xf numFmtId="42" fontId="35" fillId="2" borderId="8" xfId="0" applyNumberFormat="1" applyFont="1" applyFill="1" applyBorder="1"/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49" fontId="35" fillId="9" borderId="0" xfId="0" applyNumberFormat="1" applyFont="1" applyFill="1"/>
    <xf numFmtId="5" fontId="35" fillId="0" borderId="0" xfId="6" applyNumberFormat="1" applyFont="1" applyBorder="1" applyAlignment="1">
      <alignment horizontal="center"/>
    </xf>
    <xf numFmtId="167" fontId="0" fillId="0" borderId="0" xfId="0" applyNumberFormat="1"/>
    <xf numFmtId="43" fontId="0" fillId="0" borderId="0" xfId="2" applyFont="1"/>
    <xf numFmtId="0" fontId="4" fillId="0" borderId="29" xfId="0" applyFont="1" applyBorder="1" applyAlignment="1">
      <alignment horizontal="center"/>
    </xf>
    <xf numFmtId="44" fontId="0" fillId="0" borderId="0" xfId="6" applyFont="1"/>
    <xf numFmtId="44" fontId="0" fillId="0" borderId="0" xfId="0" applyNumberFormat="1"/>
    <xf numFmtId="0" fontId="48" fillId="0" borderId="0" xfId="0" applyFont="1"/>
    <xf numFmtId="0" fontId="47" fillId="0" borderId="0" xfId="0" applyFont="1" applyAlignment="1">
      <alignment wrapText="1"/>
    </xf>
    <xf numFmtId="0" fontId="49" fillId="0" borderId="0" xfId="0" applyFont="1"/>
    <xf numFmtId="3" fontId="0" fillId="0" borderId="0" xfId="0" applyNumberFormat="1"/>
    <xf numFmtId="1" fontId="0" fillId="0" borderId="0" xfId="0" applyNumberFormat="1"/>
    <xf numFmtId="0" fontId="0" fillId="0" borderId="3" xfId="0" applyBorder="1"/>
    <xf numFmtId="168" fontId="0" fillId="0" borderId="0" xfId="6" applyNumberFormat="1" applyFont="1"/>
    <xf numFmtId="0" fontId="2" fillId="0" borderId="0" xfId="0" applyFont="1" applyAlignment="1">
      <alignment horizontal="left" indent="3"/>
    </xf>
    <xf numFmtId="43" fontId="0" fillId="0" borderId="0" xfId="0" applyNumberFormat="1"/>
    <xf numFmtId="42" fontId="35" fillId="0" borderId="40" xfId="0" applyNumberFormat="1" applyFont="1" applyBorder="1"/>
    <xf numFmtId="42" fontId="35" fillId="2" borderId="40" xfId="0" applyNumberFormat="1" applyFont="1" applyFill="1" applyBorder="1"/>
    <xf numFmtId="42" fontId="35" fillId="8" borderId="40" xfId="0" applyNumberFormat="1" applyFont="1" applyFill="1" applyBorder="1"/>
    <xf numFmtId="169" fontId="29" fillId="0" borderId="0" xfId="0" applyNumberFormat="1" applyFont="1" applyAlignment="1">
      <alignment horizontal="left"/>
    </xf>
    <xf numFmtId="15" fontId="29" fillId="0" borderId="0" xfId="0" applyNumberFormat="1" applyFont="1" applyAlignment="1">
      <alignment horizontal="right"/>
    </xf>
    <xf numFmtId="42" fontId="43" fillId="0" borderId="0" xfId="0" applyNumberFormat="1" applyFont="1"/>
    <xf numFmtId="42" fontId="43" fillId="2" borderId="0" xfId="0" applyNumberFormat="1" applyFont="1" applyFill="1"/>
    <xf numFmtId="0" fontId="35" fillId="2" borderId="0" xfId="0" applyFont="1" applyFill="1" applyAlignment="1">
      <alignment horizontal="left"/>
    </xf>
    <xf numFmtId="166" fontId="0" fillId="0" borderId="15" xfId="2" applyNumberFormat="1" applyFont="1" applyFill="1" applyBorder="1"/>
    <xf numFmtId="0" fontId="50" fillId="0" borderId="0" xfId="0" applyFont="1" applyAlignment="1">
      <alignment horizontal="center" vertical="center" wrapText="1"/>
    </xf>
    <xf numFmtId="42" fontId="35" fillId="2" borderId="42" xfId="0" applyNumberFormat="1" applyFont="1" applyFill="1" applyBorder="1"/>
    <xf numFmtId="0" fontId="4" fillId="0" borderId="0" xfId="0" applyFont="1" applyAlignment="1">
      <alignment horizontal="left" indent="3"/>
    </xf>
    <xf numFmtId="170" fontId="0" fillId="0" borderId="0" xfId="0" applyNumberFormat="1"/>
    <xf numFmtId="0" fontId="0" fillId="0" borderId="0" xfId="0" applyProtection="1">
      <protection locked="0"/>
    </xf>
    <xf numFmtId="42" fontId="42" fillId="0" borderId="3" xfId="0" applyNumberFormat="1" applyFont="1" applyBorder="1"/>
    <xf numFmtId="42" fontId="52" fillId="0" borderId="3" xfId="0" applyNumberFormat="1" applyFont="1" applyBorder="1"/>
    <xf numFmtId="164" fontId="16" fillId="0" borderId="7" xfId="1" applyNumberFormat="1" applyFont="1" applyFill="1" applyBorder="1"/>
    <xf numFmtId="164" fontId="16" fillId="0" borderId="10" xfId="1" applyNumberFormat="1" applyFont="1" applyFill="1" applyBorder="1"/>
    <xf numFmtId="9" fontId="16" fillId="0" borderId="7" xfId="1" applyFont="1" applyFill="1" applyBorder="1"/>
    <xf numFmtId="164" fontId="16" fillId="0" borderId="9" xfId="1" applyNumberFormat="1" applyFont="1" applyFill="1" applyBorder="1"/>
    <xf numFmtId="9" fontId="16" fillId="0" borderId="9" xfId="1" applyFont="1" applyFill="1" applyBorder="1"/>
    <xf numFmtId="16" fontId="35" fillId="0" borderId="0" xfId="0" applyNumberFormat="1" applyFont="1"/>
    <xf numFmtId="6" fontId="35" fillId="0" borderId="0" xfId="0" applyNumberFormat="1" applyFont="1"/>
    <xf numFmtId="0" fontId="4" fillId="0" borderId="43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42" fontId="35" fillId="2" borderId="10" xfId="0" applyNumberFormat="1" applyFont="1" applyFill="1" applyBorder="1"/>
    <xf numFmtId="49" fontId="35" fillId="2" borderId="0" xfId="0" applyNumberFormat="1" applyFont="1" applyFill="1"/>
    <xf numFmtId="0" fontId="0" fillId="14" borderId="25" xfId="0" applyFill="1" applyBorder="1"/>
    <xf numFmtId="0" fontId="1" fillId="14" borderId="0" xfId="0" applyFont="1" applyFill="1"/>
    <xf numFmtId="0" fontId="0" fillId="14" borderId="0" xfId="0" applyFill="1"/>
    <xf numFmtId="0" fontId="31" fillId="14" borderId="0" xfId="0" applyFont="1" applyFill="1" applyAlignment="1">
      <alignment horizontal="center" vertical="center"/>
    </xf>
    <xf numFmtId="0" fontId="30" fillId="14" borderId="0" xfId="0" applyFont="1" applyFill="1" applyAlignment="1">
      <alignment horizontal="center" vertical="center"/>
    </xf>
    <xf numFmtId="0" fontId="46" fillId="14" borderId="27" xfId="0" applyFont="1" applyFill="1" applyBorder="1" applyAlignment="1">
      <alignment horizontal="center" wrapText="1"/>
    </xf>
    <xf numFmtId="0" fontId="46" fillId="14" borderId="10" xfId="0" applyFont="1" applyFill="1" applyBorder="1" applyAlignment="1">
      <alignment horizontal="center" vertical="top" wrapText="1"/>
    </xf>
    <xf numFmtId="0" fontId="30" fillId="14" borderId="0" xfId="0" applyFont="1" applyFill="1" applyAlignment="1">
      <alignment vertical="center"/>
    </xf>
    <xf numFmtId="0" fontId="7" fillId="14" borderId="35" xfId="0" applyFont="1" applyFill="1" applyBorder="1" applyAlignment="1">
      <alignment horizontal="center" vertical="center" wrapText="1"/>
    </xf>
    <xf numFmtId="0" fontId="7" fillId="14" borderId="31" xfId="0" applyFont="1" applyFill="1" applyBorder="1" applyAlignment="1">
      <alignment horizontal="center" vertical="center" wrapText="1"/>
    </xf>
    <xf numFmtId="0" fontId="7" fillId="14" borderId="32" xfId="0" applyFont="1" applyFill="1" applyBorder="1" applyAlignment="1">
      <alignment horizontal="center" vertical="center" wrapText="1"/>
    </xf>
    <xf numFmtId="0" fontId="1" fillId="13" borderId="15" xfId="0" applyFont="1" applyFill="1" applyBorder="1"/>
    <xf numFmtId="164" fontId="53" fillId="14" borderId="15" xfId="0" applyNumberFormat="1" applyFont="1" applyFill="1" applyBorder="1"/>
    <xf numFmtId="6" fontId="0" fillId="0" borderId="0" xfId="0" applyNumberFormat="1"/>
    <xf numFmtId="0" fontId="40" fillId="15" borderId="0" xfId="0" applyFont="1" applyFill="1"/>
    <xf numFmtId="0" fontId="41" fillId="15" borderId="0" xfId="0" applyFont="1" applyFill="1"/>
    <xf numFmtId="42" fontId="41" fillId="15" borderId="0" xfId="0" applyNumberFormat="1" applyFont="1" applyFill="1"/>
    <xf numFmtId="42" fontId="41" fillId="15" borderId="8" xfId="0" applyNumberFormat="1" applyFont="1" applyFill="1" applyBorder="1"/>
    <xf numFmtId="0" fontId="44" fillId="15" borderId="0" xfId="0" applyFont="1" applyFill="1"/>
    <xf numFmtId="0" fontId="45" fillId="15" borderId="5" xfId="0" applyFont="1" applyFill="1" applyBorder="1"/>
    <xf numFmtId="0" fontId="45" fillId="15" borderId="5" xfId="0" applyFont="1" applyFill="1" applyBorder="1" applyAlignment="1">
      <alignment horizontal="right"/>
    </xf>
    <xf numFmtId="42" fontId="45" fillId="15" borderId="5" xfId="0" applyNumberFormat="1" applyFont="1" applyFill="1" applyBorder="1"/>
    <xf numFmtId="164" fontId="45" fillId="15" borderId="5" xfId="0" applyNumberFormat="1" applyFont="1" applyFill="1" applyBorder="1"/>
    <xf numFmtId="42" fontId="35" fillId="16" borderId="41" xfId="0" applyNumberFormat="1" applyFont="1" applyFill="1" applyBorder="1"/>
    <xf numFmtId="164" fontId="54" fillId="5" borderId="15" xfId="0" applyNumberFormat="1" applyFont="1" applyFill="1" applyBorder="1"/>
    <xf numFmtId="166" fontId="53" fillId="14" borderId="15" xfId="0" applyNumberFormat="1" applyFont="1" applyFill="1" applyBorder="1" applyAlignment="1">
      <alignment wrapText="1"/>
    </xf>
    <xf numFmtId="0" fontId="7" fillId="14" borderId="45" xfId="0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168" fontId="35" fillId="0" borderId="42" xfId="6" applyNumberFormat="1" applyFont="1" applyBorder="1"/>
    <xf numFmtId="168" fontId="35" fillId="0" borderId="42" xfId="6" applyNumberFormat="1" applyFont="1" applyFill="1" applyBorder="1"/>
    <xf numFmtId="42" fontId="35" fillId="0" borderId="10" xfId="0" applyNumberFormat="1" applyFont="1" applyBorder="1"/>
    <xf numFmtId="168" fontId="35" fillId="0" borderId="7" xfId="6" applyNumberFormat="1" applyFont="1" applyBorder="1"/>
    <xf numFmtId="168" fontId="35" fillId="0" borderId="0" xfId="6" applyNumberFormat="1" applyFont="1" applyBorder="1"/>
    <xf numFmtId="43" fontId="53" fillId="14" borderId="15" xfId="0" applyNumberFormat="1" applyFont="1" applyFill="1" applyBorder="1" applyAlignment="1">
      <alignment wrapText="1"/>
    </xf>
    <xf numFmtId="0" fontId="35" fillId="5" borderId="0" xfId="0" applyFont="1" applyFill="1"/>
    <xf numFmtId="44" fontId="35" fillId="0" borderId="0" xfId="6" applyFont="1" applyBorder="1"/>
    <xf numFmtId="168" fontId="35" fillId="0" borderId="8" xfId="6" applyNumberFormat="1" applyFont="1" applyBorder="1"/>
    <xf numFmtId="0" fontId="35" fillId="0" borderId="5" xfId="0" applyFont="1" applyBorder="1"/>
    <xf numFmtId="0" fontId="49" fillId="5" borderId="47" xfId="0" applyFont="1" applyFill="1" applyBorder="1" applyAlignment="1">
      <alignment horizontal="center"/>
    </xf>
    <xf numFmtId="168" fontId="35" fillId="0" borderId="8" xfId="6" applyNumberFormat="1" applyFont="1" applyFill="1" applyBorder="1"/>
    <xf numFmtId="168" fontId="35" fillId="2" borderId="8" xfId="6" applyNumberFormat="1" applyFont="1" applyFill="1" applyBorder="1"/>
    <xf numFmtId="168" fontId="35" fillId="0" borderId="12" xfId="0" applyNumberFormat="1" applyFont="1" applyBorder="1"/>
    <xf numFmtId="168" fontId="35" fillId="0" borderId="11" xfId="0" applyNumberFormat="1" applyFont="1" applyBorder="1"/>
    <xf numFmtId="0" fontId="35" fillId="17" borderId="0" xfId="0" applyFont="1" applyFill="1"/>
    <xf numFmtId="42" fontId="35" fillId="17" borderId="7" xfId="0" applyNumberFormat="1" applyFont="1" applyFill="1" applyBorder="1"/>
    <xf numFmtId="42" fontId="35" fillId="17" borderId="0" xfId="0" applyNumberFormat="1" applyFont="1" applyFill="1"/>
    <xf numFmtId="42" fontId="35" fillId="17" borderId="40" xfId="0" applyNumberFormat="1" applyFont="1" applyFill="1" applyBorder="1"/>
    <xf numFmtId="168" fontId="35" fillId="17" borderId="8" xfId="6" applyNumberFormat="1" applyFont="1" applyFill="1" applyBorder="1"/>
    <xf numFmtId="168" fontId="35" fillId="0" borderId="8" xfId="0" applyNumberFormat="1" applyFont="1" applyBorder="1"/>
    <xf numFmtId="168" fontId="35" fillId="0" borderId="14" xfId="0" applyNumberFormat="1" applyFont="1" applyBorder="1"/>
    <xf numFmtId="168" fontId="35" fillId="0" borderId="13" xfId="0" applyNumberFormat="1" applyFont="1" applyBorder="1"/>
    <xf numFmtId="168" fontId="35" fillId="0" borderId="0" xfId="0" applyNumberFormat="1" applyFont="1"/>
    <xf numFmtId="168" fontId="35" fillId="0" borderId="7" xfId="0" applyNumberFormat="1" applyFont="1" applyBorder="1"/>
    <xf numFmtId="168" fontId="35" fillId="0" borderId="3" xfId="0" applyNumberFormat="1" applyFont="1" applyBorder="1"/>
    <xf numFmtId="168" fontId="35" fillId="0" borderId="7" xfId="6" applyNumberFormat="1" applyFont="1" applyBorder="1" applyAlignment="1">
      <alignment horizontal="center"/>
    </xf>
    <xf numFmtId="168" fontId="35" fillId="0" borderId="7" xfId="6" applyNumberFormat="1" applyFont="1" applyFill="1" applyBorder="1"/>
    <xf numFmtId="42" fontId="35" fillId="0" borderId="12" xfId="0" applyNumberFormat="1" applyFont="1" applyBorder="1"/>
    <xf numFmtId="164" fontId="43" fillId="0" borderId="8" xfId="0" applyNumberFormat="1" applyFont="1" applyBorder="1"/>
    <xf numFmtId="42" fontId="35" fillId="0" borderId="16" xfId="0" applyNumberFormat="1" applyFont="1" applyBorder="1"/>
    <xf numFmtId="168" fontId="35" fillId="0" borderId="18" xfId="0" applyNumberFormat="1" applyFont="1" applyBorder="1"/>
    <xf numFmtId="168" fontId="39" fillId="5" borderId="48" xfId="0" applyNumberFormat="1" applyFont="1" applyFill="1" applyBorder="1"/>
    <xf numFmtId="168" fontId="39" fillId="5" borderId="6" xfId="0" applyNumberFormat="1" applyFont="1" applyFill="1" applyBorder="1"/>
    <xf numFmtId="168" fontId="39" fillId="5" borderId="47" xfId="0" applyNumberFormat="1" applyFont="1" applyFill="1" applyBorder="1"/>
    <xf numFmtId="168" fontId="35" fillId="2" borderId="42" xfId="6" applyNumberFormat="1" applyFont="1" applyFill="1" applyBorder="1"/>
    <xf numFmtId="168" fontId="35" fillId="2" borderId="0" xfId="0" applyNumberFormat="1" applyFont="1" applyFill="1"/>
    <xf numFmtId="168" fontId="35" fillId="2" borderId="7" xfId="6" applyNumberFormat="1" applyFont="1" applyFill="1" applyBorder="1"/>
    <xf numFmtId="168" fontId="35" fillId="2" borderId="7" xfId="6" applyNumberFormat="1" applyFont="1" applyFill="1" applyBorder="1" applyAlignment="1">
      <alignment horizontal="center"/>
    </xf>
    <xf numFmtId="168" fontId="35" fillId="2" borderId="8" xfId="0" applyNumberFormat="1" applyFont="1" applyFill="1" applyBorder="1"/>
    <xf numFmtId="168" fontId="35" fillId="2" borderId="7" xfId="0" applyNumberFormat="1" applyFont="1" applyFill="1" applyBorder="1"/>
    <xf numFmtId="5" fontId="35" fillId="2" borderId="0" xfId="6" applyNumberFormat="1" applyFont="1" applyFill="1" applyBorder="1" applyAlignment="1">
      <alignment horizontal="center"/>
    </xf>
    <xf numFmtId="44" fontId="35" fillId="0" borderId="0" xfId="0" applyNumberFormat="1" applyFont="1"/>
    <xf numFmtId="164" fontId="43" fillId="2" borderId="7" xfId="0" applyNumberFormat="1" applyFont="1" applyFill="1" applyBorder="1"/>
    <xf numFmtId="168" fontId="35" fillId="0" borderId="10" xfId="6" applyNumberFormat="1" applyFont="1" applyFill="1" applyBorder="1"/>
    <xf numFmtId="168" fontId="35" fillId="2" borderId="10" xfId="6" applyNumberFormat="1" applyFont="1" applyFill="1" applyBorder="1"/>
    <xf numFmtId="168" fontId="35" fillId="0" borderId="10" xfId="6" applyNumberFormat="1" applyFont="1" applyBorder="1"/>
    <xf numFmtId="44" fontId="39" fillId="5" borderId="36" xfId="0" applyNumberFormat="1" applyFont="1" applyFill="1" applyBorder="1" applyAlignment="1">
      <alignment vertical="center" wrapText="1"/>
    </xf>
    <xf numFmtId="0" fontId="39" fillId="0" borderId="0" xfId="0" applyFont="1"/>
    <xf numFmtId="164" fontId="35" fillId="2" borderId="7" xfId="0" applyNumberFormat="1" applyFont="1" applyFill="1" applyBorder="1"/>
    <xf numFmtId="164" fontId="35" fillId="17" borderId="7" xfId="0" applyNumberFormat="1" applyFont="1" applyFill="1" applyBorder="1"/>
    <xf numFmtId="168" fontId="35" fillId="17" borderId="8" xfId="0" applyNumberFormat="1" applyFont="1" applyFill="1" applyBorder="1"/>
    <xf numFmtId="164" fontId="43" fillId="17" borderId="7" xfId="0" applyNumberFormat="1" applyFont="1" applyFill="1" applyBorder="1"/>
    <xf numFmtId="0" fontId="39" fillId="5" borderId="0" xfId="0" applyFont="1" applyFill="1"/>
    <xf numFmtId="164" fontId="35" fillId="0" borderId="8" xfId="0" applyNumberFormat="1" applyFont="1" applyBorder="1"/>
    <xf numFmtId="168" fontId="35" fillId="17" borderId="42" xfId="6" applyNumberFormat="1" applyFont="1" applyFill="1" applyBorder="1"/>
    <xf numFmtId="42" fontId="35" fillId="17" borderId="8" xfId="0" applyNumberFormat="1" applyFont="1" applyFill="1" applyBorder="1"/>
    <xf numFmtId="168" fontId="35" fillId="17" borderId="7" xfId="6" applyNumberFormat="1" applyFont="1" applyFill="1" applyBorder="1"/>
    <xf numFmtId="168" fontId="35" fillId="17" borderId="0" xfId="0" applyNumberFormat="1" applyFont="1" applyFill="1"/>
    <xf numFmtId="168" fontId="35" fillId="0" borderId="10" xfId="0" applyNumberFormat="1" applyFont="1" applyBorder="1"/>
    <xf numFmtId="168" fontId="35" fillId="17" borderId="7" xfId="0" applyNumberFormat="1" applyFont="1" applyFill="1" applyBorder="1"/>
    <xf numFmtId="14" fontId="35" fillId="0" borderId="0" xfId="0" applyNumberFormat="1" applyFont="1" applyAlignment="1">
      <alignment horizontal="center"/>
    </xf>
    <xf numFmtId="0" fontId="35" fillId="0" borderId="0" xfId="0" applyFont="1" applyAlignment="1">
      <alignment horizontal="right"/>
    </xf>
    <xf numFmtId="0" fontId="3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31" fillId="14" borderId="0" xfId="0" applyFont="1" applyFill="1" applyAlignment="1">
      <alignment horizontal="center" vertical="center"/>
    </xf>
    <xf numFmtId="0" fontId="25" fillId="0" borderId="28" xfId="0" applyFont="1" applyBorder="1" applyAlignment="1">
      <alignment horizontal="left" shrinkToFit="1"/>
    </xf>
    <xf numFmtId="0" fontId="25" fillId="0" borderId="19" xfId="0" applyFont="1" applyBorder="1" applyAlignment="1">
      <alignment horizontal="left" shrinkToFit="1"/>
    </xf>
    <xf numFmtId="0" fontId="46" fillId="14" borderId="27" xfId="0" applyFont="1" applyFill="1" applyBorder="1" applyAlignment="1">
      <alignment horizontal="center" vertical="center" wrapText="1"/>
    </xf>
    <xf numFmtId="0" fontId="46" fillId="14" borderId="1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164" fontId="51" fillId="14" borderId="0" xfId="0" applyNumberFormat="1" applyFont="1" applyFill="1" applyAlignment="1">
      <alignment horizontal="center"/>
    </xf>
    <xf numFmtId="0" fontId="0" fillId="0" borderId="0" xfId="0" applyAlignment="1">
      <alignment horizontal="right"/>
    </xf>
    <xf numFmtId="0" fontId="6" fillId="0" borderId="1" xfId="0" applyFont="1" applyBorder="1" applyAlignment="1">
      <alignment horizontal="center"/>
    </xf>
    <xf numFmtId="0" fontId="38" fillId="5" borderId="0" xfId="0" applyFont="1" applyFill="1" applyAlignment="1">
      <alignment horizontal="center"/>
    </xf>
  </cellXfs>
  <cellStyles count="7">
    <cellStyle name="Comma" xfId="2" builtinId="3"/>
    <cellStyle name="Currency" xfId="6" builtinId="4"/>
    <cellStyle name="Normal" xfId="0" builtinId="0"/>
    <cellStyle name="Normal 2" xfId="3" xr:uid="{00000000-0005-0000-0000-000003000000}"/>
    <cellStyle name="Normal 2 2" xfId="4" xr:uid="{00000000-0005-0000-0000-000004000000}"/>
    <cellStyle name="Normal 2 2 2" xfId="5" xr:uid="{00000000-0005-0000-0000-000005000000}"/>
    <cellStyle name="Percent" xfId="1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619428"/>
      <color rgb="FF2D45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explosion val="2"/>
            <c:extLst>
              <c:ext xmlns:c16="http://schemas.microsoft.com/office/drawing/2014/chart" uri="{C3380CC4-5D6E-409C-BE32-E72D297353CC}">
                <c16:uniqueId val="{00000000-DA00-4D6F-86AD-95D8BEF1E018}"/>
              </c:ext>
            </c:extLst>
          </c:dPt>
          <c:dLbls>
            <c:dLbl>
              <c:idx val="0"/>
              <c:layout>
                <c:manualLayout>
                  <c:x val="-0.18543162341635791"/>
                  <c:y val="-6.1232297985622526E-2"/>
                </c:manualLayout>
              </c:layout>
              <c:tx>
                <c:rich>
                  <a:bodyPr/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Salaries</a:t>
                    </a:r>
                  </a:p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57%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A00-4D6F-86AD-95D8BEF1E018}"/>
                </c:ext>
              </c:extLst>
            </c:dLbl>
            <c:dLbl>
              <c:idx val="1"/>
              <c:layout>
                <c:manualLayout>
                  <c:x val="7.5363405031513536E-2"/>
                  <c:y val="-0.12655468724203817"/>
                </c:manualLayout>
              </c:layout>
              <c:tx>
                <c:rich>
                  <a:bodyPr/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Benefits</a:t>
                    </a:r>
                  </a:p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14%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A00-4D6F-86AD-95D8BEF1E018}"/>
                </c:ext>
              </c:extLst>
            </c:dLbl>
            <c:dLbl>
              <c:idx val="2"/>
              <c:layout>
                <c:manualLayout>
                  <c:x val="5.9564395215444252E-2"/>
                  <c:y val="-2.4014714032142771E-2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00-4D6F-86AD-95D8BEF1E018}"/>
                </c:ext>
              </c:extLst>
            </c:dLbl>
            <c:dLbl>
              <c:idx val="3"/>
              <c:layout>
                <c:manualLayout>
                  <c:x val="9.1294385186126301E-2"/>
                  <c:y val="6.0014474866651847E-4"/>
                </c:manualLayout>
              </c:layout>
              <c:tx>
                <c:rich>
                  <a:bodyPr/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endParaRPr lang="en-US">
                      <a:solidFill>
                        <a:schemeClr val="bg1"/>
                      </a:solidFill>
                    </a:endParaRPr>
                  </a:p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11%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A00-4D6F-86AD-95D8BEF1E018}"/>
                </c:ext>
              </c:extLst>
            </c:dLbl>
            <c:dLbl>
              <c:idx val="5"/>
              <c:layout>
                <c:manualLayout>
                  <c:x val="5.2638975503069785E-2"/>
                  <c:y val="0.14107931110312541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00-4D6F-86AD-95D8BEF1E01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1%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DA00-4D6F-86AD-95D8BEF1E018}"/>
                </c:ext>
              </c:extLst>
            </c:dLbl>
            <c:dLbl>
              <c:idx val="7"/>
              <c:layout>
                <c:manualLayout>
                  <c:x val="6.017647201299519E-2"/>
                  <c:y val="-6.605235916607220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&lt;1%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DA00-4D6F-86AD-95D8BEF1E01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Summary!$D$22:$D$29</c:f>
              <c:strCache>
                <c:ptCount val="8"/>
                <c:pt idx="0">
                  <c:v>Salaries</c:v>
                </c:pt>
                <c:pt idx="1">
                  <c:v>Benefits</c:v>
                </c:pt>
                <c:pt idx="2">
                  <c:v>Prof &amp; Technical Services</c:v>
                </c:pt>
                <c:pt idx="3">
                  <c:v>Purchased Property Services</c:v>
                </c:pt>
                <c:pt idx="4">
                  <c:v>Other Purchase Services</c:v>
                </c:pt>
                <c:pt idx="5">
                  <c:v>Supplies and Materials</c:v>
                </c:pt>
                <c:pt idx="6">
                  <c:v>Property, Equipment</c:v>
                </c:pt>
                <c:pt idx="7">
                  <c:v>Debt Service and Misc</c:v>
                </c:pt>
              </c:strCache>
            </c:strRef>
          </c:cat>
          <c:val>
            <c:numRef>
              <c:f>Summary!$G$22:$G$29</c:f>
              <c:numCache>
                <c:formatCode>_("$"* #,##0_);_("$"* \(#,##0\);_("$"* "-"_);_(@_)</c:formatCode>
                <c:ptCount val="8"/>
                <c:pt idx="0">
                  <c:v>2286560</c:v>
                </c:pt>
                <c:pt idx="1">
                  <c:v>580790</c:v>
                </c:pt>
                <c:pt idx="2">
                  <c:v>253800</c:v>
                </c:pt>
                <c:pt idx="3">
                  <c:v>427976</c:v>
                </c:pt>
                <c:pt idx="4">
                  <c:v>65300</c:v>
                </c:pt>
                <c:pt idx="5">
                  <c:v>402000</c:v>
                </c:pt>
                <c:pt idx="6">
                  <c:v>32500</c:v>
                </c:pt>
                <c:pt idx="7">
                  <c:v>12350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00-4D6F-86AD-95D8BEF1E01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3956558851641021"/>
          <c:y val="6.8321149091143119E-2"/>
          <c:w val="0.33934594757507452"/>
          <c:h val="0.8927840322958453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'Statistics 2'!$K$6:$K$13</c:f>
              <c:strCache>
                <c:ptCount val="8"/>
                <c:pt idx="0">
                  <c:v>Venture</c:v>
                </c:pt>
                <c:pt idx="1">
                  <c:v>DaVinci</c:v>
                </c:pt>
                <c:pt idx="2">
                  <c:v>Thomas Edison</c:v>
                </c:pt>
                <c:pt idx="3">
                  <c:v>The Ranches Acad</c:v>
                </c:pt>
                <c:pt idx="4">
                  <c:v>Enthoes</c:v>
                </c:pt>
                <c:pt idx="5">
                  <c:v>Noah Webster</c:v>
                </c:pt>
                <c:pt idx="6">
                  <c:v>Good Foundations</c:v>
                </c:pt>
                <c:pt idx="7">
                  <c:v>Dual Immersion</c:v>
                </c:pt>
              </c:strCache>
            </c:strRef>
          </c:cat>
          <c:val>
            <c:numRef>
              <c:f>'Statistics 2'!$R$6:$R$13</c:f>
              <c:numCache>
                <c:formatCode>_("$"* #,##0_);_("$"* \(#,##0\);_("$"* "-"_);_(@_)</c:formatCode>
                <c:ptCount val="8"/>
                <c:pt idx="0">
                  <c:v>1213.9131355932204</c:v>
                </c:pt>
                <c:pt idx="1">
                  <c:v>1568.5396825396826</c:v>
                </c:pt>
                <c:pt idx="2">
                  <c:v>1439.8676599474145</c:v>
                </c:pt>
                <c:pt idx="3">
                  <c:v>1237.7492877492878</c:v>
                </c:pt>
                <c:pt idx="4">
                  <c:v>1758.1225680933853</c:v>
                </c:pt>
                <c:pt idx="5">
                  <c:v>1110.3909090909092</c:v>
                </c:pt>
                <c:pt idx="6">
                  <c:v>620.46052631578948</c:v>
                </c:pt>
                <c:pt idx="7">
                  <c:v>2376.9512195121952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37-44AF-871F-292024021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8507784"/>
        <c:axId val="488508176"/>
        <c:axId val="0"/>
      </c:bar3DChart>
      <c:catAx>
        <c:axId val="488507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88508176"/>
        <c:crosses val="autoZero"/>
        <c:auto val="1"/>
        <c:lblAlgn val="ctr"/>
        <c:lblOffset val="100"/>
        <c:noMultiLvlLbl val="0"/>
      </c:catAx>
      <c:valAx>
        <c:axId val="488508176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_);_(@_)" sourceLinked="1"/>
        <c:majorTickMark val="out"/>
        <c:minorTickMark val="none"/>
        <c:tickLblPos val="nextTo"/>
        <c:crossAx val="4885077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'Cash Flow'!$C$32</c:f>
              <c:strCache>
                <c:ptCount val="1"/>
                <c:pt idx="0">
                  <c:v>High</c:v>
                </c:pt>
              </c:strCache>
            </c:strRef>
          </c:tx>
          <c:marker>
            <c:symbol val="none"/>
          </c:marker>
          <c:cat>
            <c:strRef>
              <c:f>'Cash Flow'!$B$33:$B$36</c:f>
              <c:strCache>
                <c:ptCount val="4"/>
                <c:pt idx="0">
                  <c:v>FY11</c:v>
                </c:pt>
                <c:pt idx="1">
                  <c:v>FY12</c:v>
                </c:pt>
                <c:pt idx="2">
                  <c:v>FY13</c:v>
                </c:pt>
                <c:pt idx="3">
                  <c:v>FY14</c:v>
                </c:pt>
              </c:strCache>
            </c:strRef>
          </c:cat>
          <c:val>
            <c:numRef>
              <c:f>'Cash Flow'!$C$33:$C$36</c:f>
              <c:numCache>
                <c:formatCode>_("$"* #,##0_);_("$"* \(#,##0\);_("$"* "-"_);_(@_)</c:formatCode>
                <c:ptCount val="4"/>
                <c:pt idx="0">
                  <c:v>189524</c:v>
                </c:pt>
                <c:pt idx="1">
                  <c:v>385164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A-4D0C-9464-2AAC45559DB0}"/>
            </c:ext>
          </c:extLst>
        </c:ser>
        <c:ser>
          <c:idx val="1"/>
          <c:order val="1"/>
          <c:tx>
            <c:strRef>
              <c:f>'Cash Flow'!$D$32</c:f>
              <c:strCache>
                <c:ptCount val="1"/>
                <c:pt idx="0">
                  <c:v>Low</c:v>
                </c:pt>
              </c:strCache>
            </c:strRef>
          </c:tx>
          <c:marker>
            <c:symbol val="none"/>
          </c:marker>
          <c:cat>
            <c:strRef>
              <c:f>'Cash Flow'!$B$33:$B$36</c:f>
              <c:strCache>
                <c:ptCount val="4"/>
                <c:pt idx="0">
                  <c:v>FY11</c:v>
                </c:pt>
                <c:pt idx="1">
                  <c:v>FY12</c:v>
                </c:pt>
                <c:pt idx="2">
                  <c:v>FY13</c:v>
                </c:pt>
                <c:pt idx="3">
                  <c:v>FY14</c:v>
                </c:pt>
              </c:strCache>
            </c:strRef>
          </c:cat>
          <c:val>
            <c:numRef>
              <c:f>'Cash Flow'!$D$33:$D$36</c:f>
              <c:numCache>
                <c:formatCode>_("$"* #,##0_);_("$"* \(#,##0\);_("$"* "-"_);_(@_)</c:formatCode>
                <c:ptCount val="4"/>
                <c:pt idx="0">
                  <c:v>0</c:v>
                </c:pt>
                <c:pt idx="1">
                  <c:v>4227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A-4D0C-9464-2AAC45559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8501904"/>
        <c:axId val="488502688"/>
      </c:lineChart>
      <c:catAx>
        <c:axId val="48850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88502688"/>
        <c:crosses val="autoZero"/>
        <c:auto val="1"/>
        <c:lblAlgn val="ctr"/>
        <c:lblOffset val="100"/>
        <c:noMultiLvlLbl val="0"/>
      </c:catAx>
      <c:valAx>
        <c:axId val="488502688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_);_(@_)" sourceLinked="1"/>
        <c:majorTickMark val="out"/>
        <c:minorTickMark val="none"/>
        <c:tickLblPos val="nextTo"/>
        <c:crossAx val="4885019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'Cash Flow'!$C$17</c:f>
              <c:strCache>
                <c:ptCount val="1"/>
                <c:pt idx="0">
                  <c:v>High</c:v>
                </c:pt>
              </c:strCache>
            </c:strRef>
          </c:tx>
          <c:marker>
            <c:symbol val="none"/>
          </c:marker>
          <c:cat>
            <c:strRef>
              <c:f>'Cash Flow'!$B$18:$B$29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'Cash Flow'!$C$18:$C$29</c:f>
              <c:numCache>
                <c:formatCode>_("$"* #,##0_);_("$"* \(#,##0\);_("$"* "-"_);_(@_)</c:formatCode>
                <c:ptCount val="12"/>
                <c:pt idx="0">
                  <c:v>172518</c:v>
                </c:pt>
                <c:pt idx="1">
                  <c:v>232849</c:v>
                </c:pt>
                <c:pt idx="2">
                  <c:v>212816</c:v>
                </c:pt>
                <c:pt idx="3">
                  <c:v>205698</c:v>
                </c:pt>
                <c:pt idx="4">
                  <c:v>270827</c:v>
                </c:pt>
                <c:pt idx="5">
                  <c:v>329397</c:v>
                </c:pt>
                <c:pt idx="6">
                  <c:v>338437</c:v>
                </c:pt>
                <c:pt idx="7">
                  <c:v>356762</c:v>
                </c:pt>
                <c:pt idx="8">
                  <c:v>385164</c:v>
                </c:pt>
                <c:pt idx="9">
                  <c:v>391625</c:v>
                </c:pt>
                <c:pt idx="10">
                  <c:v>399739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53-44AC-8757-59517349175D}"/>
            </c:ext>
          </c:extLst>
        </c:ser>
        <c:ser>
          <c:idx val="1"/>
          <c:order val="1"/>
          <c:tx>
            <c:strRef>
              <c:f>'Cash Flow'!$D$17</c:f>
              <c:strCache>
                <c:ptCount val="1"/>
                <c:pt idx="0">
                  <c:v>Low</c:v>
                </c:pt>
              </c:strCache>
            </c:strRef>
          </c:tx>
          <c:marker>
            <c:symbol val="none"/>
          </c:marker>
          <c:cat>
            <c:strRef>
              <c:f>'Cash Flow'!$B$18:$B$29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'Cash Flow'!$D$18:$D$29</c:f>
              <c:numCache>
                <c:formatCode>_("$"* #,##0_);_("$"* \(#,##0\);_("$"* "-"_);_(@_)</c:formatCode>
                <c:ptCount val="12"/>
                <c:pt idx="0">
                  <c:v>33609</c:v>
                </c:pt>
                <c:pt idx="1">
                  <c:v>44672</c:v>
                </c:pt>
                <c:pt idx="2">
                  <c:v>27018</c:v>
                </c:pt>
                <c:pt idx="3">
                  <c:v>4227</c:v>
                </c:pt>
                <c:pt idx="4">
                  <c:v>55625</c:v>
                </c:pt>
                <c:pt idx="5">
                  <c:v>100536</c:v>
                </c:pt>
                <c:pt idx="6">
                  <c:v>166243</c:v>
                </c:pt>
                <c:pt idx="7">
                  <c:v>181507</c:v>
                </c:pt>
                <c:pt idx="8">
                  <c:v>213097</c:v>
                </c:pt>
                <c:pt idx="9">
                  <c:v>219231</c:v>
                </c:pt>
                <c:pt idx="10">
                  <c:v>222114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53-44AC-8757-595173491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8504648"/>
        <c:axId val="488505040"/>
      </c:lineChart>
      <c:catAx>
        <c:axId val="488504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88505040"/>
        <c:crosses val="autoZero"/>
        <c:auto val="1"/>
        <c:lblAlgn val="ctr"/>
        <c:lblOffset val="100"/>
        <c:noMultiLvlLbl val="0"/>
      </c:catAx>
      <c:valAx>
        <c:axId val="488505040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_);_(@_)" sourceLinked="1"/>
        <c:majorTickMark val="out"/>
        <c:minorTickMark val="none"/>
        <c:tickLblPos val="nextTo"/>
        <c:crossAx val="4885046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76085659747363"/>
          <c:y val="0.18332924464843944"/>
          <c:w val="0.72904514128716369"/>
          <c:h val="0.5734409580712001"/>
        </c:manualLayout>
      </c:layout>
      <c:lineChart>
        <c:grouping val="standard"/>
        <c:varyColors val="0"/>
        <c:ser>
          <c:idx val="0"/>
          <c:order val="0"/>
          <c:tx>
            <c:strRef>
              <c:f>'Summary support'!$C$2</c:f>
              <c:strCache>
                <c:ptCount val="1"/>
                <c:pt idx="0">
                  <c:v>High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'Summary support'!$B$3:$B$14</c:f>
              <c:strCache>
                <c:ptCount val="12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J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</c:strCache>
            </c:strRef>
          </c:cat>
          <c:val>
            <c:numRef>
              <c:f>'Summary support'!$C$3:$C$14</c:f>
              <c:numCache>
                <c:formatCode>_("$"* #,##0_);_("$"* \(#,##0\);_("$"* "-"_);_(@_)</c:formatCode>
                <c:ptCount val="12"/>
                <c:pt idx="0">
                  <c:v>1618091.61</c:v>
                </c:pt>
                <c:pt idx="1">
                  <c:v>1568533.9</c:v>
                </c:pt>
                <c:pt idx="2">
                  <c:v>1468270.17</c:v>
                </c:pt>
                <c:pt idx="3">
                  <c:v>1596485.3</c:v>
                </c:pt>
                <c:pt idx="4">
                  <c:v>1564517.84</c:v>
                </c:pt>
                <c:pt idx="5">
                  <c:v>1563357.14</c:v>
                </c:pt>
                <c:pt idx="6">
                  <c:v>1553798.14</c:v>
                </c:pt>
                <c:pt idx="7">
                  <c:v>1542768.38</c:v>
                </c:pt>
                <c:pt idx="8">
                  <c:v>1852117.32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B6-4411-992A-02C5E2A43C39}"/>
            </c:ext>
          </c:extLst>
        </c:ser>
        <c:ser>
          <c:idx val="1"/>
          <c:order val="1"/>
          <c:tx>
            <c:strRef>
              <c:f>'Summary support'!$D$2</c:f>
              <c:strCache>
                <c:ptCount val="1"/>
                <c:pt idx="0">
                  <c:v>Low</c:v>
                </c:pt>
              </c:strCache>
            </c:strRef>
          </c:tx>
          <c:marker>
            <c:symbol val="none"/>
          </c:marker>
          <c:cat>
            <c:strRef>
              <c:f>'Summary support'!$B$3:$B$14</c:f>
              <c:strCache>
                <c:ptCount val="12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J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</c:strCache>
            </c:strRef>
          </c:cat>
          <c:val>
            <c:numRef>
              <c:f>'Summary support'!$D$3:$D$14</c:f>
              <c:numCache>
                <c:formatCode>_("$"* #,##0_);_("$"* \(#,##0\);_("$"* "-"_);_(@_)</c:formatCode>
                <c:ptCount val="12"/>
                <c:pt idx="0">
                  <c:v>1359113.98</c:v>
                </c:pt>
                <c:pt idx="1">
                  <c:v>1345690.57</c:v>
                </c:pt>
                <c:pt idx="2">
                  <c:v>1118887.6000000001</c:v>
                </c:pt>
                <c:pt idx="3">
                  <c:v>1231428</c:v>
                </c:pt>
                <c:pt idx="4">
                  <c:v>1273368.17</c:v>
                </c:pt>
                <c:pt idx="5">
                  <c:v>1276214.49</c:v>
                </c:pt>
                <c:pt idx="6">
                  <c:v>1318595.8400000001</c:v>
                </c:pt>
                <c:pt idx="7">
                  <c:v>1295966.3700000001</c:v>
                </c:pt>
                <c:pt idx="8">
                  <c:v>1287903.3400000001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B6-4411-992A-02C5E2A43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978032"/>
        <c:axId val="489978424"/>
      </c:lineChart>
      <c:catAx>
        <c:axId val="489978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89978424"/>
        <c:crosses val="autoZero"/>
        <c:auto val="1"/>
        <c:lblAlgn val="ctr"/>
        <c:lblOffset val="100"/>
        <c:noMultiLvlLbl val="0"/>
      </c:catAx>
      <c:valAx>
        <c:axId val="489978424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_);_(@_)" sourceLinked="1"/>
        <c:majorTickMark val="out"/>
        <c:minorTickMark val="none"/>
        <c:tickLblPos val="nextTo"/>
        <c:crossAx val="489978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3907152230971704"/>
          <c:y val="0.835882379109391"/>
          <c:w val="0.39198908375090208"/>
          <c:h val="0.1612803060634372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491159758876464"/>
          <c:y val="0.16790886794888338"/>
          <c:w val="0.74468573706768493"/>
          <c:h val="0.54896476055247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support'!$G$3</c:f>
              <c:strCache>
                <c:ptCount val="1"/>
                <c:pt idx="0">
                  <c:v>Revenues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'Summary support'!$H$2:$S$2</c:f>
              <c:strCache>
                <c:ptCount val="12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J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</c:strCache>
            </c:strRef>
          </c:cat>
          <c:val>
            <c:numRef>
              <c:f>'Summary support'!$H$3:$S$3</c:f>
              <c:numCache>
                <c:formatCode>_(* #,##0_);_(* \(#,##0\);_(* "-"??_);_(@_)</c:formatCode>
                <c:ptCount val="12"/>
                <c:pt idx="0">
                  <c:v>244732.4</c:v>
                </c:pt>
                <c:pt idx="1">
                  <c:v>227047.33</c:v>
                </c:pt>
                <c:pt idx="2">
                  <c:v>239417.69</c:v>
                </c:pt>
                <c:pt idx="3">
                  <c:v>309358.40999999997</c:v>
                </c:pt>
                <c:pt idx="4">
                  <c:v>297150.65000000002</c:v>
                </c:pt>
                <c:pt idx="5">
                  <c:v>290498.33</c:v>
                </c:pt>
                <c:pt idx="6">
                  <c:v>257478.24</c:v>
                </c:pt>
                <c:pt idx="7">
                  <c:v>247898.35</c:v>
                </c:pt>
                <c:pt idx="8">
                  <c:v>664451.68999999994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B9-4F13-9F4E-0E00BCC19E6E}"/>
            </c:ext>
          </c:extLst>
        </c:ser>
        <c:ser>
          <c:idx val="1"/>
          <c:order val="1"/>
          <c:tx>
            <c:strRef>
              <c:f>'Summary support'!$G$4</c:f>
              <c:strCache>
                <c:ptCount val="1"/>
                <c:pt idx="0">
                  <c:v>Expenses</c:v>
                </c:pt>
              </c:strCache>
            </c:strRef>
          </c:tx>
          <c:invertIfNegative val="0"/>
          <c:cat>
            <c:strRef>
              <c:f>'Summary support'!$H$2:$S$2</c:f>
              <c:strCache>
                <c:ptCount val="12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J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</c:strCache>
            </c:strRef>
          </c:cat>
          <c:val>
            <c:numRef>
              <c:f>'Summary support'!$H$4:$S$4</c:f>
              <c:numCache>
                <c:formatCode>_(* #,##0_);_(* \(#,##0\);_(* "-"??_);_(@_)</c:formatCode>
                <c:ptCount val="12"/>
                <c:pt idx="0">
                  <c:v>18678.29</c:v>
                </c:pt>
                <c:pt idx="1">
                  <c:v>254490.09</c:v>
                </c:pt>
                <c:pt idx="2">
                  <c:v>328306.34000000003</c:v>
                </c:pt>
                <c:pt idx="3">
                  <c:v>263023.17</c:v>
                </c:pt>
                <c:pt idx="4">
                  <c:v>276583.13</c:v>
                </c:pt>
                <c:pt idx="5">
                  <c:v>441339.82</c:v>
                </c:pt>
                <c:pt idx="6">
                  <c:v>72095.679999999993</c:v>
                </c:pt>
                <c:pt idx="7">
                  <c:v>290497.65999999997</c:v>
                </c:pt>
                <c:pt idx="8">
                  <c:v>251829.62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B9-4F13-9F4E-0E00BCC19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9976856"/>
        <c:axId val="489980776"/>
      </c:barChart>
      <c:catAx>
        <c:axId val="489976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89980776"/>
        <c:crosses val="autoZero"/>
        <c:auto val="1"/>
        <c:lblAlgn val="ctr"/>
        <c:lblOffset val="100"/>
        <c:noMultiLvlLbl val="0"/>
      </c:catAx>
      <c:valAx>
        <c:axId val="48998077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4899768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550184391508441"/>
          <c:y val="0.82637278946689052"/>
          <c:w val="0.4332407487525598"/>
          <c:h val="0.170497827115872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Enrollment by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Summary!$M$40:$W$40</c:f>
              <c:strCache>
                <c:ptCount val="11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J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</c:strCache>
            </c:strRef>
          </c:cat>
          <c:val>
            <c:numRef>
              <c:f>Summary!$M$48:$W$48</c:f>
              <c:numCache>
                <c:formatCode>General</c:formatCode>
                <c:ptCount val="11"/>
                <c:pt idx="0">
                  <c:v>0</c:v>
                </c:pt>
                <c:pt idx="1">
                  <c:v>221</c:v>
                </c:pt>
                <c:pt idx="2">
                  <c:v>225</c:v>
                </c:pt>
                <c:pt idx="3">
                  <c:v>228</c:v>
                </c:pt>
                <c:pt idx="4">
                  <c:v>238</c:v>
                </c:pt>
                <c:pt idx="5">
                  <c:v>233</c:v>
                </c:pt>
                <c:pt idx="6">
                  <c:v>249</c:v>
                </c:pt>
                <c:pt idx="7">
                  <c:v>242</c:v>
                </c:pt>
                <c:pt idx="8">
                  <c:v>242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1-4762-8E36-A3B847707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64620480"/>
        <c:axId val="664623104"/>
        <c:axId val="0"/>
      </c:bar3DChart>
      <c:catAx>
        <c:axId val="664620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623104"/>
        <c:crosses val="autoZero"/>
        <c:auto val="1"/>
        <c:lblAlgn val="ctr"/>
        <c:lblOffset val="100"/>
        <c:noMultiLvlLbl val="0"/>
      </c:catAx>
      <c:valAx>
        <c:axId val="66462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620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rgbClr val="FFF200"/>
                </a:gs>
                <a:gs pos="45000">
                  <a:srgbClr val="FF7A00"/>
                </a:gs>
                <a:gs pos="70000">
                  <a:srgbClr val="FF0300"/>
                </a:gs>
                <a:gs pos="100000">
                  <a:srgbClr val="4D0808"/>
                </a:gs>
              </a:gsLst>
              <a:lin ang="5400000" scaled="0"/>
              <a:tileRect r="-100000" b="-100000"/>
            </a:gradFill>
          </c:spPr>
          <c:invertIfNegative val="0"/>
          <c:cat>
            <c:strRef>
              <c:f>Statistics!$B$6:$B$11</c:f>
              <c:strCache>
                <c:ptCount val="6"/>
                <c:pt idx="0">
                  <c:v>FY02</c:v>
                </c:pt>
                <c:pt idx="1">
                  <c:v>FY07</c:v>
                </c:pt>
                <c:pt idx="2">
                  <c:v>FY08</c:v>
                </c:pt>
                <c:pt idx="3">
                  <c:v>FY09</c:v>
                </c:pt>
                <c:pt idx="4">
                  <c:v>FY10</c:v>
                </c:pt>
                <c:pt idx="5">
                  <c:v>FY11</c:v>
                </c:pt>
              </c:strCache>
            </c:strRef>
          </c:cat>
          <c:val>
            <c:numRef>
              <c:f>Statistics!$C$6:$C$11</c:f>
              <c:numCache>
                <c:formatCode>_("$"* #,##0_);_("$"* \(#,##0\);_("$"* "-"_);_(@_)</c:formatCode>
                <c:ptCount val="6"/>
                <c:pt idx="0">
                  <c:v>4900</c:v>
                </c:pt>
                <c:pt idx="1">
                  <c:v>5706</c:v>
                </c:pt>
                <c:pt idx="2">
                  <c:v>5765</c:v>
                </c:pt>
                <c:pt idx="3">
                  <c:v>5812</c:v>
                </c:pt>
                <c:pt idx="4">
                  <c:v>5758</c:v>
                </c:pt>
                <c:pt idx="5">
                  <c:v>5702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61-4840-AD25-8AAAA58D7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9974896"/>
        <c:axId val="489975288"/>
        <c:axId val="0"/>
      </c:bar3DChart>
      <c:catAx>
        <c:axId val="489974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89975288"/>
        <c:crosses val="autoZero"/>
        <c:auto val="1"/>
        <c:lblAlgn val="ctr"/>
        <c:lblOffset val="100"/>
        <c:noMultiLvlLbl val="0"/>
      </c:catAx>
      <c:valAx>
        <c:axId val="489975288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_);_(@_)" sourceLinked="1"/>
        <c:majorTickMark val="out"/>
        <c:minorTickMark val="none"/>
        <c:tickLblPos val="nextTo"/>
        <c:crossAx val="4899748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D6B19C"/>
                </a:gs>
                <a:gs pos="30000">
                  <a:srgbClr val="D49E6C"/>
                </a:gs>
                <a:gs pos="70000">
                  <a:srgbClr val="A65528"/>
                </a:gs>
                <a:gs pos="100000">
                  <a:srgbClr val="663012"/>
                </a:gs>
              </a:gsLst>
              <a:lin ang="5400000" scaled="0"/>
            </a:gradFill>
          </c:spPr>
          <c:invertIfNegative val="0"/>
          <c:cat>
            <c:strRef>
              <c:f>Statistics!$K$6:$K$11</c:f>
              <c:strCache>
                <c:ptCount val="6"/>
                <c:pt idx="0">
                  <c:v>Utah (Lowest)</c:v>
                </c:pt>
                <c:pt idx="1">
                  <c:v>Idaho</c:v>
                </c:pt>
                <c:pt idx="2">
                  <c:v>New York (Highest)</c:v>
                </c:pt>
                <c:pt idx="3">
                  <c:v>Michigan (Median)</c:v>
                </c:pt>
                <c:pt idx="4">
                  <c:v>Puerto Rico</c:v>
                </c:pt>
                <c:pt idx="5">
                  <c:v>National Average</c:v>
                </c:pt>
              </c:strCache>
            </c:strRef>
          </c:cat>
          <c:val>
            <c:numRef>
              <c:f>Statistics!$M$6:$M$11</c:f>
              <c:numCache>
                <c:formatCode>_("$"* #,##0_);_("$"* \(#,##0\);_("$"* "-"_);_(@_)</c:formatCode>
                <c:ptCount val="6"/>
                <c:pt idx="0">
                  <c:v>5765</c:v>
                </c:pt>
                <c:pt idx="1">
                  <c:v>6931</c:v>
                </c:pt>
                <c:pt idx="2">
                  <c:v>17173</c:v>
                </c:pt>
                <c:pt idx="3">
                  <c:v>9489</c:v>
                </c:pt>
                <c:pt idx="4">
                  <c:v>6006</c:v>
                </c:pt>
                <c:pt idx="5">
                  <c:v>10259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B7-41AE-B5B3-1CBCBF631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8505432"/>
        <c:axId val="488501120"/>
        <c:axId val="0"/>
      </c:bar3DChart>
      <c:catAx>
        <c:axId val="488505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88501120"/>
        <c:crosses val="autoZero"/>
        <c:auto val="1"/>
        <c:lblAlgn val="ctr"/>
        <c:lblOffset val="100"/>
        <c:noMultiLvlLbl val="0"/>
      </c:catAx>
      <c:valAx>
        <c:axId val="488501120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_);_(@_)" sourceLinked="1"/>
        <c:majorTickMark val="out"/>
        <c:minorTickMark val="none"/>
        <c:tickLblPos val="nextTo"/>
        <c:crossAx val="4885054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rgbClr val="5E9EFF"/>
                </a:gs>
                <a:gs pos="39999">
                  <a:srgbClr val="85C2FF"/>
                </a:gs>
                <a:gs pos="70000">
                  <a:srgbClr val="C4D6EB"/>
                </a:gs>
                <a:gs pos="100000">
                  <a:srgbClr val="FFEBFA"/>
                </a:gs>
              </a:gsLst>
              <a:lin ang="5400000" scaled="0"/>
              <a:tileRect r="-100000" b="-100000"/>
            </a:gradFill>
          </c:spPr>
          <c:invertIfNegative val="0"/>
          <c:cat>
            <c:strRef>
              <c:f>Statistics!$K$23:$K$30</c:f>
              <c:strCache>
                <c:ptCount val="8"/>
                <c:pt idx="0">
                  <c:v>Venture</c:v>
                </c:pt>
                <c:pt idx="1">
                  <c:v>DaVinci</c:v>
                </c:pt>
                <c:pt idx="2">
                  <c:v>Thomas Edison</c:v>
                </c:pt>
                <c:pt idx="3">
                  <c:v>The Ranches Acad</c:v>
                </c:pt>
                <c:pt idx="4">
                  <c:v>Enthoes</c:v>
                </c:pt>
                <c:pt idx="5">
                  <c:v>Noah Webster</c:v>
                </c:pt>
                <c:pt idx="6">
                  <c:v>Good Foundations</c:v>
                </c:pt>
                <c:pt idx="7">
                  <c:v>Dual Immersion</c:v>
                </c:pt>
              </c:strCache>
            </c:strRef>
          </c:cat>
          <c:val>
            <c:numRef>
              <c:f>Statistics!$O$23:$O$30</c:f>
              <c:numCache>
                <c:formatCode>0.0%</c:formatCode>
                <c:ptCount val="8"/>
                <c:pt idx="0">
                  <c:v>0.22790001870874954</c:v>
                </c:pt>
                <c:pt idx="1">
                  <c:v>0.23320065751694039</c:v>
                </c:pt>
                <c:pt idx="2">
                  <c:v>0.1299013377873422</c:v>
                </c:pt>
                <c:pt idx="3">
                  <c:v>8.6808353084430398E-2</c:v>
                </c:pt>
                <c:pt idx="4">
                  <c:v>0.15440571485693633</c:v>
                </c:pt>
                <c:pt idx="5">
                  <c:v>0.22546100028609325</c:v>
                </c:pt>
                <c:pt idx="6">
                  <c:v>0.24342200086478868</c:v>
                </c:pt>
                <c:pt idx="7">
                  <c:v>0.20119072725208054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EB-4C94-9312-3F35E2A4B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8506216"/>
        <c:axId val="488504256"/>
        <c:axId val="0"/>
      </c:bar3DChart>
      <c:catAx>
        <c:axId val="488506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88504256"/>
        <c:crosses val="autoZero"/>
        <c:auto val="1"/>
        <c:lblAlgn val="ctr"/>
        <c:lblOffset val="100"/>
        <c:noMultiLvlLbl val="0"/>
      </c:catAx>
      <c:valAx>
        <c:axId val="48850425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4885062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  <a:tileRect r="-100000" b="-100000"/>
            </a:gradFill>
          </c:spPr>
          <c:invertIfNegative val="0"/>
          <c:cat>
            <c:strRef>
              <c:f>Statistics!$B$19:$B$26</c:f>
              <c:strCache>
                <c:ptCount val="8"/>
                <c:pt idx="0">
                  <c:v>Venture</c:v>
                </c:pt>
                <c:pt idx="1">
                  <c:v>DaVinci</c:v>
                </c:pt>
                <c:pt idx="2">
                  <c:v>Thomas Edison</c:v>
                </c:pt>
                <c:pt idx="3">
                  <c:v>The Ranches Acad</c:v>
                </c:pt>
                <c:pt idx="4">
                  <c:v>Enthoes</c:v>
                </c:pt>
                <c:pt idx="5">
                  <c:v>Noah Webster</c:v>
                </c:pt>
                <c:pt idx="6">
                  <c:v>Good Foundations</c:v>
                </c:pt>
                <c:pt idx="7">
                  <c:v>Dual Immersion</c:v>
                </c:pt>
              </c:strCache>
            </c:strRef>
          </c:cat>
          <c:val>
            <c:numRef>
              <c:f>Statistics!$F$19:$F$26</c:f>
              <c:numCache>
                <c:formatCode>_("$"* #,##0_);_("$"* \(#,##0\);_("$"* "-"_);_(@_)</c:formatCode>
                <c:ptCount val="8"/>
                <c:pt idx="0">
                  <c:v>1336.8644067796611</c:v>
                </c:pt>
                <c:pt idx="1">
                  <c:v>1718.9232804232804</c:v>
                </c:pt>
                <c:pt idx="2">
                  <c:v>718.43295354951795</c:v>
                </c:pt>
                <c:pt idx="3">
                  <c:v>474.25925925925924</c:v>
                </c:pt>
                <c:pt idx="4">
                  <c:v>976.6536964980545</c:v>
                </c:pt>
                <c:pt idx="5">
                  <c:v>1260.909090909091</c:v>
                </c:pt>
                <c:pt idx="6">
                  <c:v>1250</c:v>
                </c:pt>
                <c:pt idx="7">
                  <c:v>1374.9445676274945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DC-4666-96C0-8DAFEBFDD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8505824"/>
        <c:axId val="488501512"/>
        <c:axId val="0"/>
      </c:bar3DChart>
      <c:catAx>
        <c:axId val="488505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88501512"/>
        <c:crosses val="autoZero"/>
        <c:auto val="1"/>
        <c:lblAlgn val="ctr"/>
        <c:lblOffset val="100"/>
        <c:noMultiLvlLbl val="0"/>
      </c:catAx>
      <c:valAx>
        <c:axId val="488501512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_);_(@_)" sourceLinked="1"/>
        <c:majorTickMark val="out"/>
        <c:minorTickMark val="none"/>
        <c:tickLblPos val="nextTo"/>
        <c:crossAx val="4885058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'Statistics 2'!$B$6:$B$13</c:f>
              <c:strCache>
                <c:ptCount val="8"/>
                <c:pt idx="0">
                  <c:v>Venture</c:v>
                </c:pt>
                <c:pt idx="1">
                  <c:v>DaVinci</c:v>
                </c:pt>
                <c:pt idx="2">
                  <c:v>Thomas Edison</c:v>
                </c:pt>
                <c:pt idx="3">
                  <c:v>The Ranches Acad</c:v>
                </c:pt>
                <c:pt idx="4">
                  <c:v>Enthoes</c:v>
                </c:pt>
                <c:pt idx="5">
                  <c:v>Noah Webster</c:v>
                </c:pt>
                <c:pt idx="6">
                  <c:v>Good Foundations</c:v>
                </c:pt>
                <c:pt idx="7">
                  <c:v>Dual Immersion</c:v>
                </c:pt>
              </c:strCache>
            </c:strRef>
          </c:cat>
          <c:val>
            <c:numRef>
              <c:f>'Statistics 2'!$F$6:$F$13</c:f>
              <c:numCache>
                <c:formatCode>0.0%</c:formatCode>
                <c:ptCount val="8"/>
                <c:pt idx="0">
                  <c:v>0.48347484136205199</c:v>
                </c:pt>
                <c:pt idx="1">
                  <c:v>0.4942274125473925</c:v>
                </c:pt>
                <c:pt idx="2">
                  <c:v>0.48447243877458335</c:v>
                </c:pt>
                <c:pt idx="3">
                  <c:v>0.60657891925386209</c:v>
                </c:pt>
                <c:pt idx="4">
                  <c:v>0.5259561090352064</c:v>
                </c:pt>
                <c:pt idx="5">
                  <c:v>0.49519965123601312</c:v>
                </c:pt>
                <c:pt idx="6">
                  <c:v>0.55218691075566162</c:v>
                </c:pt>
                <c:pt idx="7">
                  <c:v>0.53155389705183687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F-4916-9C5E-A5B0F65FA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8507000"/>
        <c:axId val="488502296"/>
        <c:axId val="0"/>
      </c:bar3DChart>
      <c:catAx>
        <c:axId val="488507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88502296"/>
        <c:crosses val="autoZero"/>
        <c:auto val="1"/>
        <c:lblAlgn val="ctr"/>
        <c:lblOffset val="100"/>
        <c:noMultiLvlLbl val="0"/>
      </c:catAx>
      <c:valAx>
        <c:axId val="48850229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488507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6" Type="http://schemas.openxmlformats.org/officeDocument/2006/relationships/image" Target="../media/image2.jp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3.png"/><Relationship Id="rId5" Type="http://schemas.openxmlformats.org/officeDocument/2006/relationships/image" Target="../media/image1.jpeg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600075</xdr:colOff>
      <xdr:row>10</xdr:row>
      <xdr:rowOff>18204</xdr:rowOff>
    </xdr:from>
    <xdr:to>
      <xdr:col>20</xdr:col>
      <xdr:colOff>185208</xdr:colOff>
      <xdr:row>21</xdr:row>
      <xdr:rowOff>140970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26</xdr:col>
      <xdr:colOff>77470</xdr:colOff>
      <xdr:row>54</xdr:row>
      <xdr:rowOff>55034</xdr:rowOff>
    </xdr:from>
    <xdr:to>
      <xdr:col>27</xdr:col>
      <xdr:colOff>39186</xdr:colOff>
      <xdr:row>56</xdr:row>
      <xdr:rowOff>74084</xdr:rowOff>
    </xdr:to>
    <xdr:pic>
      <xdr:nvPicPr>
        <xdr:cNvPr id="10" name="Picture 9" descr="logo_icon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07570" y="10220114"/>
          <a:ext cx="556077" cy="392430"/>
        </a:xfrm>
        <a:prstGeom prst="rect">
          <a:avLst/>
        </a:prstGeom>
      </xdr:spPr>
    </xdr:pic>
    <xdr:clientData/>
  </xdr:twoCellAnchor>
  <xdr:oneCellAnchor>
    <xdr:from>
      <xdr:col>21</xdr:col>
      <xdr:colOff>231776</xdr:colOff>
      <xdr:row>26</xdr:row>
      <xdr:rowOff>173565</xdr:rowOff>
    </xdr:from>
    <xdr:ext cx="2942165" cy="836085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9880601" y="5174190"/>
          <a:ext cx="2942165" cy="836085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3">
              <a:lumMod val="50000"/>
            </a:schemeClr>
          </a:solidFill>
        </a:ln>
        <a:effectLst>
          <a:outerShdw blurRad="50800" dist="50800" dir="5400000" algn="ctr" rotWithShape="0">
            <a:schemeClr val="bg1"/>
          </a:outerShdw>
        </a:effectLst>
        <a:scene3d>
          <a:camera prst="orthographicFront"/>
          <a:lightRig rig="threePt" dir="t"/>
        </a:scene3d>
        <a:sp3d>
          <a:bevelB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l"/>
          <a:r>
            <a:rPr lang="en-US" sz="1100" b="0" i="1" u="sng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Cash Reserve</a:t>
          </a:r>
          <a:r>
            <a:rPr lang="en-US" i="1" u="sng"/>
            <a:t> </a:t>
          </a:r>
          <a:r>
            <a:rPr lang="en-US" baseline="0"/>
            <a:t> 	             </a:t>
          </a:r>
          <a:r>
            <a:rPr lang="en-US" u="sng" baseline="0"/>
            <a:t>Operating Margin</a:t>
          </a:r>
          <a:r>
            <a:rPr lang="en-US" i="1" u="sng" baseline="0"/>
            <a:t> </a:t>
          </a:r>
        </a:p>
        <a:p>
          <a:pPr algn="l"/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             $0-$300,000</a:t>
          </a:r>
          <a:r>
            <a:rPr lang="en-US"/>
            <a:t>                 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5%</a:t>
          </a:r>
          <a:r>
            <a:rPr lang="en-US"/>
            <a:t> 	</a:t>
          </a:r>
          <a:endParaRPr lang="en-US" sz="1100" b="0" i="0" u="none" strike="noStrike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algn="l"/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 $300,000-$500,000</a:t>
          </a:r>
          <a:r>
            <a:rPr lang="en-US"/>
            <a:t>                 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4%</a:t>
          </a:r>
          <a:r>
            <a:rPr lang="en-US"/>
            <a:t>       	</a:t>
          </a:r>
        </a:p>
        <a:p>
          <a:pPr algn="l"/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 $500,000-and above</a:t>
          </a:r>
          <a:r>
            <a:rPr lang="en-US"/>
            <a:t>               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3%		</a:t>
          </a:r>
          <a:endParaRPr lang="en-US"/>
        </a:p>
      </xdr:txBody>
    </xdr:sp>
    <xdr:clientData/>
  </xdr:oneCellAnchor>
  <xdr:twoCellAnchor>
    <xdr:from>
      <xdr:col>10</xdr:col>
      <xdr:colOff>161925</xdr:colOff>
      <xdr:row>26</xdr:row>
      <xdr:rowOff>142876</xdr:rowOff>
    </xdr:from>
    <xdr:to>
      <xdr:col>10</xdr:col>
      <xdr:colOff>714375</xdr:colOff>
      <xdr:row>29</xdr:row>
      <xdr:rowOff>133351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934200" y="5143501"/>
          <a:ext cx="552450" cy="571500"/>
        </a:xfrm>
        <a:prstGeom prst="ellipse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0</xdr:colOff>
      <xdr:row>40</xdr:row>
      <xdr:rowOff>66675</xdr:rowOff>
    </xdr:from>
    <xdr:to>
      <xdr:col>5</xdr:col>
      <xdr:colOff>323850</xdr:colOff>
      <xdr:row>50</xdr:row>
      <xdr:rowOff>19050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600074</xdr:colOff>
      <xdr:row>22</xdr:row>
      <xdr:rowOff>38101</xdr:rowOff>
    </xdr:from>
    <xdr:to>
      <xdr:col>20</xdr:col>
      <xdr:colOff>180975</xdr:colOff>
      <xdr:row>34</xdr:row>
      <xdr:rowOff>38101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9</xdr:col>
      <xdr:colOff>733425</xdr:colOff>
      <xdr:row>22</xdr:row>
      <xdr:rowOff>76200</xdr:rowOff>
    </xdr:from>
    <xdr:ext cx="195656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724650" y="4314825"/>
          <a:ext cx="19565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Monthly Revenue to Expenses</a:t>
          </a:r>
        </a:p>
      </xdr:txBody>
    </xdr:sp>
    <xdr:clientData/>
  </xdr:oneCellAnchor>
  <xdr:oneCellAnchor>
    <xdr:from>
      <xdr:col>3</xdr:col>
      <xdr:colOff>704850</xdr:colOff>
      <xdr:row>40</xdr:row>
      <xdr:rowOff>104775</xdr:rowOff>
    </xdr:from>
    <xdr:ext cx="988476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314450" y="7886700"/>
          <a:ext cx="9884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Bank Account</a:t>
          </a:r>
        </a:p>
      </xdr:txBody>
    </xdr:sp>
    <xdr:clientData/>
  </xdr:oneCellAnchor>
  <xdr:twoCellAnchor>
    <xdr:from>
      <xdr:col>23</xdr:col>
      <xdr:colOff>182880</xdr:colOff>
      <xdr:row>38</xdr:row>
      <xdr:rowOff>163830</xdr:rowOff>
    </xdr:from>
    <xdr:to>
      <xdr:col>27</xdr:col>
      <xdr:colOff>571500</xdr:colOff>
      <xdr:row>50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24</xdr:col>
      <xdr:colOff>719328</xdr:colOff>
      <xdr:row>0</xdr:row>
      <xdr:rowOff>121920</xdr:rowOff>
    </xdr:from>
    <xdr:to>
      <xdr:col>27</xdr:col>
      <xdr:colOff>355579</xdr:colOff>
      <xdr:row>7</xdr:row>
      <xdr:rowOff>42672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3648" y="121920"/>
          <a:ext cx="1745468" cy="1274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236220</xdr:colOff>
      <xdr:row>1</xdr:row>
      <xdr:rowOff>243840</xdr:rowOff>
    </xdr:from>
    <xdr:ext cx="4099560" cy="29718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876300" y="243840"/>
          <a:ext cx="4099560" cy="297180"/>
        </a:xfrm>
        <a:prstGeom prst="rect">
          <a:avLst/>
        </a:prstGeom>
        <a:solidFill>
          <a:schemeClr val="tx1"/>
        </a:solidFill>
        <a:ln>
          <a:solidFill>
            <a:schemeClr val="accent3">
              <a:lumMod val="50000"/>
            </a:schemeClr>
          </a:solidFill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wrap="square" rtlCol="0" anchor="ctr">
          <a:noAutofit/>
        </a:bodyPr>
        <a:lstStyle/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Actuals as of:</a:t>
          </a:r>
          <a:r>
            <a:rPr lang="en-US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		           P</a:t>
          </a:r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ercentage of</a:t>
          </a:r>
          <a:r>
            <a:rPr lang="en-US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Year:   </a:t>
          </a:r>
          <a:endParaRPr lang="en-US" sz="1200" b="1" i="1">
            <a:effectLst/>
          </a:endParaRPr>
        </a:p>
      </xdr:txBody>
    </xdr:sp>
    <xdr:clientData/>
  </xdr:oneCellAnchor>
  <xdr:twoCellAnchor editAs="oneCell">
    <xdr:from>
      <xdr:col>9</xdr:col>
      <xdr:colOff>69850</xdr:colOff>
      <xdr:row>1</xdr:row>
      <xdr:rowOff>31750</xdr:rowOff>
    </xdr:from>
    <xdr:to>
      <xdr:col>11</xdr:col>
      <xdr:colOff>530924</xdr:colOff>
      <xdr:row>3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0300" y="31750"/>
          <a:ext cx="1331024" cy="971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3</xdr:row>
      <xdr:rowOff>47625</xdr:rowOff>
    </xdr:from>
    <xdr:to>
      <xdr:col>7</xdr:col>
      <xdr:colOff>85725</xdr:colOff>
      <xdr:row>11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85726</xdr:colOff>
      <xdr:row>3</xdr:row>
      <xdr:rowOff>47625</xdr:rowOff>
    </xdr:from>
    <xdr:to>
      <xdr:col>17</xdr:col>
      <xdr:colOff>552451</xdr:colOff>
      <xdr:row>17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38100</xdr:colOff>
      <xdr:row>30</xdr:row>
      <xdr:rowOff>104775</xdr:rowOff>
    </xdr:from>
    <xdr:to>
      <xdr:col>14</xdr:col>
      <xdr:colOff>609600</xdr:colOff>
      <xdr:row>44</xdr:row>
      <xdr:rowOff>85725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133349</xdr:colOff>
      <xdr:row>26</xdr:row>
      <xdr:rowOff>133350</xdr:rowOff>
    </xdr:from>
    <xdr:to>
      <xdr:col>6</xdr:col>
      <xdr:colOff>600075</xdr:colOff>
      <xdr:row>41</xdr:row>
      <xdr:rowOff>66675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16</xdr:col>
      <xdr:colOff>381000</xdr:colOff>
      <xdr:row>45</xdr:row>
      <xdr:rowOff>47625</xdr:rowOff>
    </xdr:from>
    <xdr:to>
      <xdr:col>17</xdr:col>
      <xdr:colOff>427383</xdr:colOff>
      <xdr:row>47</xdr:row>
      <xdr:rowOff>66675</xdr:rowOff>
    </xdr:to>
    <xdr:pic>
      <xdr:nvPicPr>
        <xdr:cNvPr id="12" name="Picture 11" descr="logo_icon.jpg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0239375" y="9467850"/>
          <a:ext cx="655983" cy="400050"/>
        </a:xfrm>
        <a:prstGeom prst="rect">
          <a:avLst/>
        </a:prstGeom>
      </xdr:spPr>
    </xdr:pic>
    <xdr:clientData/>
  </xdr:twoCellAnchor>
  <xdr:twoCellAnchor>
    <xdr:from>
      <xdr:col>14</xdr:col>
      <xdr:colOff>352425</xdr:colOff>
      <xdr:row>0</xdr:row>
      <xdr:rowOff>152401</xdr:rowOff>
    </xdr:from>
    <xdr:to>
      <xdr:col>17</xdr:col>
      <xdr:colOff>542924</xdr:colOff>
      <xdr:row>2</xdr:row>
      <xdr:rowOff>219076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086850" y="152401"/>
          <a:ext cx="2152649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85726</xdr:rowOff>
    </xdr:from>
    <xdr:to>
      <xdr:col>6</xdr:col>
      <xdr:colOff>600075</xdr:colOff>
      <xdr:row>26</xdr:row>
      <xdr:rowOff>66675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9526</xdr:colOff>
      <xdr:row>13</xdr:row>
      <xdr:rowOff>57150</xdr:rowOff>
    </xdr:from>
    <xdr:to>
      <xdr:col>17</xdr:col>
      <xdr:colOff>876301</xdr:colOff>
      <xdr:row>27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16</xdr:col>
      <xdr:colOff>133350</xdr:colOff>
      <xdr:row>37</xdr:row>
      <xdr:rowOff>57150</xdr:rowOff>
    </xdr:from>
    <xdr:to>
      <xdr:col>17</xdr:col>
      <xdr:colOff>179733</xdr:colOff>
      <xdr:row>39</xdr:row>
      <xdr:rowOff>76200</xdr:rowOff>
    </xdr:to>
    <xdr:pic>
      <xdr:nvPicPr>
        <xdr:cNvPr id="10" name="Picture 9" descr="logo_icon.jpg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591800" y="7381875"/>
          <a:ext cx="655983" cy="400050"/>
        </a:xfrm>
        <a:prstGeom prst="rect">
          <a:avLst/>
        </a:prstGeom>
      </xdr:spPr>
    </xdr:pic>
    <xdr:clientData/>
  </xdr:twoCellAnchor>
  <xdr:twoCellAnchor>
    <xdr:from>
      <xdr:col>15</xdr:col>
      <xdr:colOff>209550</xdr:colOff>
      <xdr:row>0</xdr:row>
      <xdr:rowOff>152400</xdr:rowOff>
    </xdr:from>
    <xdr:to>
      <xdr:col>17</xdr:col>
      <xdr:colOff>904874</xdr:colOff>
      <xdr:row>2</xdr:row>
      <xdr:rowOff>190500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029825" y="152400"/>
          <a:ext cx="2152649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66676</xdr:colOff>
      <xdr:row>31</xdr:row>
      <xdr:rowOff>0</xdr:rowOff>
    </xdr:from>
    <xdr:to>
      <xdr:col>9</xdr:col>
      <xdr:colOff>200026</xdr:colOff>
      <xdr:row>39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76200</xdr:colOff>
      <xdr:row>15</xdr:row>
      <xdr:rowOff>180975</xdr:rowOff>
    </xdr:from>
    <xdr:to>
      <xdr:col>13</xdr:col>
      <xdr:colOff>38100</xdr:colOff>
      <xdr:row>30</xdr:row>
      <xdr:rowOff>66675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13</xdr:col>
      <xdr:colOff>314325</xdr:colOff>
      <xdr:row>39</xdr:row>
      <xdr:rowOff>57150</xdr:rowOff>
    </xdr:from>
    <xdr:to>
      <xdr:col>14</xdr:col>
      <xdr:colOff>255933</xdr:colOff>
      <xdr:row>41</xdr:row>
      <xdr:rowOff>76200</xdr:rowOff>
    </xdr:to>
    <xdr:pic>
      <xdr:nvPicPr>
        <xdr:cNvPr id="6" name="Picture 5" descr="logo_icon.jpg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067800" y="7677150"/>
          <a:ext cx="655983" cy="400050"/>
        </a:xfrm>
        <a:prstGeom prst="rect">
          <a:avLst/>
        </a:prstGeom>
      </xdr:spPr>
    </xdr:pic>
    <xdr:clientData/>
  </xdr:twoCellAnchor>
  <xdr:twoCellAnchor>
    <xdr:from>
      <xdr:col>12</xdr:col>
      <xdr:colOff>304800</xdr:colOff>
      <xdr:row>0</xdr:row>
      <xdr:rowOff>161925</xdr:rowOff>
    </xdr:from>
    <xdr:to>
      <xdr:col>14</xdr:col>
      <xdr:colOff>695326</xdr:colOff>
      <xdr:row>3</xdr:row>
      <xdr:rowOff>104775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343900" y="161925"/>
          <a:ext cx="1819276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142875</xdr:colOff>
      <xdr:row>24</xdr:row>
      <xdr:rowOff>66675</xdr:rowOff>
    </xdr:from>
    <xdr:to>
      <xdr:col>7</xdr:col>
      <xdr:colOff>798858</xdr:colOff>
      <xdr:row>26</xdr:row>
      <xdr:rowOff>85725</xdr:rowOff>
    </xdr:to>
    <xdr:pic>
      <xdr:nvPicPr>
        <xdr:cNvPr id="3" name="Picture 2" descr="logo_icon.jp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19725" y="4981575"/>
          <a:ext cx="655983" cy="400050"/>
        </a:xfrm>
        <a:prstGeom prst="rect">
          <a:avLst/>
        </a:prstGeom>
      </xdr:spPr>
    </xdr:pic>
    <xdr:clientData/>
  </xdr:twoCellAnchor>
  <xdr:twoCellAnchor>
    <xdr:from>
      <xdr:col>6</xdr:col>
      <xdr:colOff>495300</xdr:colOff>
      <xdr:row>0</xdr:row>
      <xdr:rowOff>161925</xdr:rowOff>
    </xdr:from>
    <xdr:to>
      <xdr:col>9</xdr:col>
      <xdr:colOff>47625</xdr:colOff>
      <xdr:row>4</xdr:row>
      <xdr:rowOff>57150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24425" y="161925"/>
          <a:ext cx="18954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164"/>
  <sheetViews>
    <sheetView showGridLines="0" tabSelected="1" zoomScale="110" zoomScaleNormal="110" workbookViewId="0">
      <selection activeCell="AC20" sqref="AC20"/>
    </sheetView>
  </sheetViews>
  <sheetFormatPr defaultRowHeight="15" x14ac:dyDescent="0.25"/>
  <cols>
    <col min="1" max="1" width="2.28515625" customWidth="1"/>
    <col min="2" max="2" width="1.7109375" customWidth="1"/>
    <col min="3" max="3" width="6" customWidth="1"/>
    <col min="4" max="4" width="25.28515625" bestFit="1" customWidth="1"/>
    <col min="5" max="5" width="11.7109375" customWidth="1"/>
    <col min="6" max="6" width="11.42578125" customWidth="1"/>
    <col min="7" max="7" width="11.7109375" customWidth="1"/>
    <col min="8" max="8" width="10.28515625" customWidth="1"/>
    <col min="9" max="10" width="11.7109375" customWidth="1"/>
    <col min="11" max="11" width="25.140625" bestFit="1" customWidth="1"/>
    <col min="12" max="12" width="3.7109375" customWidth="1"/>
    <col min="13" max="15" width="3.85546875" customWidth="1"/>
    <col min="16" max="19" width="4" bestFit="1" customWidth="1"/>
    <col min="20" max="24" width="4" customWidth="1"/>
    <col min="25" max="25" width="13.28515625" customWidth="1"/>
    <col min="26" max="28" width="8.7109375" customWidth="1"/>
    <col min="29" max="29" width="11.7109375" customWidth="1"/>
    <col min="30" max="30" width="7.7109375" customWidth="1"/>
    <col min="31" max="31" width="7.28515625" customWidth="1"/>
    <col min="32" max="37" width="11.7109375" customWidth="1"/>
  </cols>
  <sheetData>
    <row r="1" spans="1:28" ht="12" customHeight="1" x14ac:dyDescent="0.25"/>
    <row r="2" spans="1:28" ht="27.75" x14ac:dyDescent="0.4">
      <c r="J2" s="352" t="s">
        <v>143</v>
      </c>
      <c r="K2" s="352"/>
      <c r="L2" s="352"/>
    </row>
    <row r="3" spans="1:28" ht="19.5" x14ac:dyDescent="0.35">
      <c r="G3" s="238"/>
      <c r="J3" s="230" t="s">
        <v>178</v>
      </c>
      <c r="K3" s="229">
        <v>45443</v>
      </c>
      <c r="L3" s="142"/>
    </row>
    <row r="4" spans="1:28" ht="12" customHeight="1" x14ac:dyDescent="0.25">
      <c r="G4" s="93"/>
    </row>
    <row r="5" spans="1:28" ht="12" customHeight="1" x14ac:dyDescent="0.25">
      <c r="G5" s="212"/>
    </row>
    <row r="6" spans="1:28" ht="12" customHeight="1" x14ac:dyDescent="0.25">
      <c r="G6" s="44"/>
    </row>
    <row r="7" spans="1:28" ht="12" customHeight="1" x14ac:dyDescent="0.25">
      <c r="G7" s="212"/>
    </row>
    <row r="8" spans="1:28" ht="12" customHeight="1" x14ac:dyDescent="0.25"/>
    <row r="9" spans="1:28" ht="21" customHeight="1" x14ac:dyDescent="0.25">
      <c r="A9" s="253"/>
      <c r="B9" s="353">
        <f>(IF((MONTH(K3))-6&gt;0,(MONTH(K3))-6,(MONTH(K3))+6))/12</f>
        <v>0.91666666666666663</v>
      </c>
      <c r="C9" s="353"/>
      <c r="D9" s="254" t="s">
        <v>168</v>
      </c>
      <c r="E9" s="255"/>
      <c r="F9" s="256" t="s">
        <v>151</v>
      </c>
      <c r="G9" s="257"/>
      <c r="H9" s="255"/>
      <c r="I9" s="257"/>
      <c r="J9" s="347" t="s">
        <v>255</v>
      </c>
      <c r="K9" s="347"/>
      <c r="L9" s="347"/>
      <c r="M9" s="347"/>
      <c r="N9" s="347"/>
      <c r="O9" s="347"/>
      <c r="P9" s="347"/>
      <c r="Q9" s="347"/>
      <c r="R9" s="347"/>
      <c r="S9" s="347"/>
      <c r="T9" s="255"/>
      <c r="U9" s="255"/>
      <c r="V9" s="255"/>
      <c r="W9" s="255"/>
      <c r="X9" s="255"/>
      <c r="Y9" s="256" t="s">
        <v>152</v>
      </c>
      <c r="Z9" s="257"/>
      <c r="AA9" s="257"/>
      <c r="AB9" s="255"/>
    </row>
    <row r="10" spans="1:28" ht="12" customHeight="1" x14ac:dyDescent="0.25"/>
    <row r="11" spans="1:28" x14ac:dyDescent="0.25">
      <c r="D11" s="3"/>
      <c r="E11" s="258" t="s">
        <v>158</v>
      </c>
      <c r="F11" s="258" t="s">
        <v>156</v>
      </c>
      <c r="G11" s="350" t="s">
        <v>3</v>
      </c>
      <c r="H11" s="258" t="s">
        <v>157</v>
      </c>
      <c r="J11" s="131"/>
      <c r="K11" s="6"/>
      <c r="L11" s="6"/>
      <c r="M11" s="6"/>
      <c r="N11" s="6"/>
      <c r="O11" s="6"/>
    </row>
    <row r="12" spans="1:28" ht="16.5" customHeight="1" x14ac:dyDescent="0.25">
      <c r="B12" s="32"/>
      <c r="C12" s="32"/>
      <c r="D12" s="32"/>
      <c r="E12" s="259" t="s">
        <v>155</v>
      </c>
      <c r="F12" s="259" t="s">
        <v>2</v>
      </c>
      <c r="G12" s="351"/>
      <c r="H12" s="259" t="s">
        <v>3</v>
      </c>
      <c r="J12" s="121"/>
      <c r="K12" s="6"/>
      <c r="L12" s="33"/>
      <c r="M12" s="33"/>
      <c r="N12" s="33"/>
      <c r="O12" s="33"/>
      <c r="W12" t="s">
        <v>181</v>
      </c>
    </row>
    <row r="13" spans="1:28" x14ac:dyDescent="0.25">
      <c r="B13" s="32"/>
      <c r="C13" s="32"/>
      <c r="D13" s="32"/>
      <c r="E13" s="101"/>
      <c r="F13" s="101"/>
      <c r="G13" s="132"/>
      <c r="H13" s="101"/>
      <c r="J13" s="121"/>
      <c r="K13" s="121"/>
      <c r="L13" s="33"/>
      <c r="M13" s="33"/>
      <c r="N13" s="33"/>
      <c r="O13" s="33"/>
    </row>
    <row r="14" spans="1:28" x14ac:dyDescent="0.25">
      <c r="C14" s="93" t="s">
        <v>45</v>
      </c>
      <c r="D14" s="32"/>
      <c r="E14" s="127">
        <v>228</v>
      </c>
      <c r="F14" s="127">
        <v>245</v>
      </c>
      <c r="G14" s="133">
        <v>245</v>
      </c>
      <c r="H14" s="127"/>
      <c r="J14" s="128"/>
      <c r="K14" s="128"/>
      <c r="L14" s="33"/>
      <c r="M14" s="33"/>
      <c r="N14" s="33"/>
      <c r="O14" s="33"/>
      <c r="Z14" s="123" t="s">
        <v>3</v>
      </c>
      <c r="AA14" s="123" t="s">
        <v>142</v>
      </c>
    </row>
    <row r="15" spans="1:28" ht="15" customHeight="1" x14ac:dyDescent="0.25">
      <c r="B15" s="94" t="s">
        <v>0</v>
      </c>
      <c r="C15" s="89"/>
      <c r="D15" s="89"/>
      <c r="E15" s="100"/>
      <c r="F15" s="100"/>
      <c r="G15" s="134"/>
      <c r="H15" s="100"/>
      <c r="J15" s="89"/>
      <c r="K15" s="89"/>
      <c r="L15" s="89"/>
      <c r="M15" s="89"/>
      <c r="N15" s="89"/>
      <c r="O15" s="89"/>
      <c r="Q15" s="110"/>
      <c r="R15" s="110"/>
      <c r="S15" s="110"/>
      <c r="T15" s="110"/>
      <c r="U15" s="110"/>
    </row>
    <row r="16" spans="1:28" ht="15" customHeight="1" x14ac:dyDescent="0.25">
      <c r="B16" s="34"/>
      <c r="C16" s="34">
        <v>1000</v>
      </c>
      <c r="D16" s="34" t="s">
        <v>4</v>
      </c>
      <c r="E16" s="98">
        <f>+'Budget Detail'!F15</f>
        <v>71012</v>
      </c>
      <c r="F16" s="98">
        <f>+'Budget Detail'!G15</f>
        <v>39400</v>
      </c>
      <c r="G16" s="98">
        <f>+'Budget Detail'!J15</f>
        <v>88600</v>
      </c>
      <c r="H16" s="242">
        <f>+E16/G16</f>
        <v>0.80148984198645601</v>
      </c>
      <c r="J16" s="31"/>
      <c r="K16" s="31"/>
      <c r="L16" s="31"/>
      <c r="M16" s="31"/>
      <c r="N16" s="31"/>
      <c r="O16" s="31"/>
      <c r="Q16" s="110"/>
      <c r="R16" s="110"/>
      <c r="S16" s="110"/>
      <c r="T16" s="110"/>
      <c r="U16" s="110"/>
      <c r="W16" s="194" t="s">
        <v>145</v>
      </c>
      <c r="Z16" s="277">
        <f>E34</f>
        <v>4.6444317116859306E-2</v>
      </c>
      <c r="AA16" s="129">
        <v>0.03</v>
      </c>
    </row>
    <row r="17" spans="2:38" ht="15" customHeight="1" x14ac:dyDescent="0.25">
      <c r="B17" s="34"/>
      <c r="C17" s="34">
        <v>3000</v>
      </c>
      <c r="D17" s="34" t="s">
        <v>6</v>
      </c>
      <c r="E17" s="193">
        <f>+'Budget Detail'!F46</f>
        <v>2445631</v>
      </c>
      <c r="F17" s="193">
        <f>+'Budget Detail'!G46</f>
        <v>2646622</v>
      </c>
      <c r="G17" s="193">
        <f>+'Budget Detail'!J46</f>
        <v>3236270</v>
      </c>
      <c r="H17" s="242">
        <f>+E17/G17</f>
        <v>0.7556943641908741</v>
      </c>
      <c r="J17" s="31"/>
      <c r="K17" s="31"/>
      <c r="L17" s="31"/>
      <c r="M17" s="31"/>
      <c r="N17" s="31"/>
      <c r="O17" s="31"/>
      <c r="W17" s="112"/>
    </row>
    <row r="18" spans="2:38" s="2" customFormat="1" ht="15" customHeight="1" x14ac:dyDescent="0.25">
      <c r="B18" s="34"/>
      <c r="C18" s="34">
        <v>4000</v>
      </c>
      <c r="D18" s="34" t="s">
        <v>5</v>
      </c>
      <c r="E18" s="140">
        <f>+'Budget Detail'!F59</f>
        <v>443351</v>
      </c>
      <c r="F18" s="140">
        <f>+'Budget Detail'!G59</f>
        <v>370416</v>
      </c>
      <c r="G18" s="140">
        <f>+'Budget Detail'!J59</f>
        <v>855153.85</v>
      </c>
      <c r="H18" s="243">
        <f>+E18/G18</f>
        <v>0.51844589134458086</v>
      </c>
      <c r="I18" s="218"/>
      <c r="J18" s="31"/>
      <c r="K18" s="31"/>
      <c r="L18" s="31"/>
      <c r="M18" s="31"/>
      <c r="N18" s="31"/>
      <c r="O18" s="31"/>
      <c r="W18" s="194" t="s">
        <v>153</v>
      </c>
      <c r="Z18" s="287">
        <f>(G32+602573)/602573</f>
        <v>1.1970679901024441</v>
      </c>
      <c r="AA18" s="130">
        <v>1.25</v>
      </c>
      <c r="AE18"/>
      <c r="AF18"/>
      <c r="AG18"/>
      <c r="AH18"/>
    </row>
    <row r="19" spans="2:38" x14ac:dyDescent="0.25">
      <c r="B19" s="34"/>
      <c r="C19" s="95" t="s">
        <v>130</v>
      </c>
      <c r="D19" s="92"/>
      <c r="E19" s="99">
        <f>SUM(E16:E18)</f>
        <v>2959994</v>
      </c>
      <c r="F19" s="99">
        <f>SUM(F16:F18)</f>
        <v>3056438</v>
      </c>
      <c r="G19" s="135">
        <f>SUM(G16:G18)</f>
        <v>4180023.85</v>
      </c>
      <c r="H19" s="242">
        <f>+E19/G19</f>
        <v>0.70812849548693368</v>
      </c>
      <c r="J19" s="35"/>
      <c r="K19" s="35"/>
      <c r="L19" s="35"/>
      <c r="M19" s="35"/>
      <c r="N19" s="35"/>
      <c r="O19" s="35"/>
      <c r="W19" s="112"/>
    </row>
    <row r="20" spans="2:38" x14ac:dyDescent="0.25">
      <c r="B20" s="34"/>
      <c r="C20" s="34"/>
      <c r="D20" s="34"/>
      <c r="E20" s="98"/>
      <c r="F20" s="98"/>
      <c r="G20" s="136"/>
      <c r="H20" s="244"/>
      <c r="J20" s="31"/>
      <c r="K20" s="31"/>
      <c r="L20" s="31"/>
      <c r="M20" s="31"/>
      <c r="N20" s="31"/>
      <c r="O20" s="31"/>
      <c r="W20" s="194" t="s">
        <v>150</v>
      </c>
      <c r="Z20" s="278">
        <f>+E40</f>
        <v>166.45574075733833</v>
      </c>
      <c r="AA20" s="147">
        <v>90</v>
      </c>
      <c r="AK20" t="s">
        <v>223</v>
      </c>
      <c r="AL20" s="266">
        <v>59000</v>
      </c>
    </row>
    <row r="21" spans="2:38" x14ac:dyDescent="0.25">
      <c r="B21" s="94" t="s">
        <v>1</v>
      </c>
      <c r="C21" s="91"/>
      <c r="D21" s="89"/>
      <c r="E21" s="97"/>
      <c r="F21" s="97"/>
      <c r="G21" s="137">
        <v>304595</v>
      </c>
      <c r="H21" s="244"/>
      <c r="J21" s="90"/>
      <c r="K21" s="90"/>
      <c r="L21" s="90"/>
      <c r="M21" s="90"/>
      <c r="N21" s="90"/>
      <c r="O21" s="90"/>
      <c r="W21" s="112"/>
      <c r="AK21" t="s">
        <v>224</v>
      </c>
      <c r="AL21" s="266">
        <v>58000</v>
      </c>
    </row>
    <row r="22" spans="2:38" x14ac:dyDescent="0.25">
      <c r="B22" s="34"/>
      <c r="C22" s="34">
        <v>100</v>
      </c>
      <c r="D22" s="34" t="s">
        <v>9</v>
      </c>
      <c r="E22" s="98">
        <f>+'Budget Detail'!F75</f>
        <v>1640960.9499999997</v>
      </c>
      <c r="F22" s="98">
        <f>+'Budget Detail'!G75</f>
        <v>1806407</v>
      </c>
      <c r="G22" s="98">
        <f>+'Budget Detail'!J75</f>
        <v>2286560</v>
      </c>
      <c r="H22" s="242">
        <f t="shared" ref="H22:H30" si="0">+E22/G22</f>
        <v>0.71765488331817218</v>
      </c>
      <c r="J22" s="31"/>
      <c r="K22" s="35"/>
      <c r="L22" s="35"/>
      <c r="M22" s="35"/>
      <c r="N22" s="35"/>
      <c r="O22" s="35"/>
      <c r="W22" s="194" t="s">
        <v>177</v>
      </c>
      <c r="Z22" s="265">
        <v>0.185</v>
      </c>
      <c r="AA22" s="129">
        <v>0.2</v>
      </c>
      <c r="AK22" t="s">
        <v>225</v>
      </c>
    </row>
    <row r="23" spans="2:38" x14ac:dyDescent="0.25">
      <c r="B23" s="34"/>
      <c r="C23" s="34">
        <v>200</v>
      </c>
      <c r="D23" s="34" t="s">
        <v>10</v>
      </c>
      <c r="E23" s="98">
        <f>+'Budget Detail'!F82</f>
        <v>415173.19999999995</v>
      </c>
      <c r="F23" s="98">
        <f>+'Budget Detail'!G82</f>
        <v>461841.5</v>
      </c>
      <c r="G23" s="98">
        <f>+'Budget Detail'!J82</f>
        <v>580790</v>
      </c>
      <c r="H23" s="242">
        <f t="shared" si="0"/>
        <v>0.71484219769624124</v>
      </c>
      <c r="J23" s="31"/>
      <c r="K23" s="35"/>
      <c r="L23" s="35"/>
      <c r="M23" s="35"/>
      <c r="N23" s="35"/>
      <c r="O23" s="35"/>
      <c r="AK23" t="s">
        <v>226</v>
      </c>
    </row>
    <row r="24" spans="2:38" x14ac:dyDescent="0.25">
      <c r="B24" s="34"/>
      <c r="C24" s="34">
        <v>300</v>
      </c>
      <c r="D24" s="34" t="s">
        <v>11</v>
      </c>
      <c r="E24" s="193">
        <f>+'Budget Detail'!F91</f>
        <v>183561.97</v>
      </c>
      <c r="F24" s="193">
        <f>+'Budget Detail'!G91</f>
        <v>144476</v>
      </c>
      <c r="G24" s="193">
        <f>+'Budget Detail'!J91</f>
        <v>253800</v>
      </c>
      <c r="H24" s="242">
        <f t="shared" si="0"/>
        <v>0.72325441292356185</v>
      </c>
      <c r="J24" s="31"/>
      <c r="K24" s="35"/>
      <c r="L24" s="35"/>
      <c r="M24" s="35"/>
      <c r="N24" s="35"/>
      <c r="O24" s="35"/>
    </row>
    <row r="25" spans="2:38" x14ac:dyDescent="0.25">
      <c r="B25" s="34"/>
      <c r="C25" s="34">
        <v>400</v>
      </c>
      <c r="D25" s="34" t="s">
        <v>12</v>
      </c>
      <c r="E25" s="193">
        <f>+'Budget Detail'!F98</f>
        <v>275251.49</v>
      </c>
      <c r="F25" s="193">
        <f>+'Budget Detail'!G98</f>
        <v>328888.92000000004</v>
      </c>
      <c r="G25" s="193">
        <f>+'Budget Detail'!J98</f>
        <v>427976</v>
      </c>
      <c r="H25" s="242">
        <f t="shared" si="0"/>
        <v>0.64314702226293063</v>
      </c>
      <c r="J25" s="31"/>
      <c r="K25" s="35"/>
      <c r="L25" s="35"/>
      <c r="M25" s="35"/>
      <c r="N25" s="35"/>
      <c r="O25" s="35"/>
      <c r="AK25" t="s">
        <v>227</v>
      </c>
    </row>
    <row r="26" spans="2:38" x14ac:dyDescent="0.25">
      <c r="B26" s="34"/>
      <c r="C26" s="34">
        <v>500</v>
      </c>
      <c r="D26" s="34" t="s">
        <v>13</v>
      </c>
      <c r="E26" s="98">
        <f>+'Budget Detail'!F107</f>
        <v>35255.86</v>
      </c>
      <c r="F26" s="98">
        <f>+'Budget Detail'!G107</f>
        <v>49300</v>
      </c>
      <c r="G26" s="98">
        <f>+'Budget Detail'!J107</f>
        <v>65300</v>
      </c>
      <c r="H26" s="242">
        <f t="shared" si="0"/>
        <v>0.53990597243491578</v>
      </c>
      <c r="J26" s="31"/>
      <c r="K26" s="35"/>
      <c r="L26" s="35"/>
      <c r="M26" s="35"/>
      <c r="N26" s="35"/>
      <c r="O26" s="35"/>
      <c r="AK26" s="266">
        <v>46000</v>
      </c>
    </row>
    <row r="27" spans="2:38" x14ac:dyDescent="0.25">
      <c r="B27" s="34"/>
      <c r="C27" s="34">
        <v>600</v>
      </c>
      <c r="D27" s="34" t="s">
        <v>14</v>
      </c>
      <c r="E27" s="98">
        <f>+'Budget Detail'!F118</f>
        <v>264399.63</v>
      </c>
      <c r="F27" s="98">
        <f>+'Budget Detail'!G118</f>
        <v>394000</v>
      </c>
      <c r="G27" s="98">
        <f>+'Budget Detail'!J118</f>
        <v>402000</v>
      </c>
      <c r="H27" s="242">
        <f t="shared" si="0"/>
        <v>0.65771052238805972</v>
      </c>
      <c r="J27" s="31"/>
      <c r="K27" s="35"/>
      <c r="L27" s="35"/>
      <c r="M27" s="35"/>
      <c r="N27" s="35"/>
      <c r="O27" s="35"/>
    </row>
    <row r="28" spans="2:38" x14ac:dyDescent="0.25">
      <c r="B28" s="34"/>
      <c r="C28" s="34">
        <v>700</v>
      </c>
      <c r="D28" s="34" t="s">
        <v>15</v>
      </c>
      <c r="E28" s="193">
        <f>+'Budget Detail'!F122</f>
        <v>2615</v>
      </c>
      <c r="F28" s="193">
        <f>+'Budget Detail'!G122</f>
        <v>9000</v>
      </c>
      <c r="G28" s="193">
        <f>+'Budget Detail'!J122</f>
        <v>32500</v>
      </c>
      <c r="H28" s="242">
        <f t="shared" si="0"/>
        <v>8.0461538461538459E-2</v>
      </c>
      <c r="J28" s="31"/>
      <c r="K28" s="35"/>
      <c r="L28" s="35"/>
      <c r="M28" s="35"/>
      <c r="N28" s="35"/>
      <c r="O28" s="35"/>
      <c r="AK28" t="s">
        <v>228</v>
      </c>
    </row>
    <row r="29" spans="2:38" ht="15.75" thickBot="1" x14ac:dyDescent="0.3">
      <c r="B29" s="34"/>
      <c r="C29" s="34">
        <v>800</v>
      </c>
      <c r="D29" s="34" t="s">
        <v>16</v>
      </c>
      <c r="E29" s="193">
        <f>+'Budget Detail'!F128</f>
        <v>5301</v>
      </c>
      <c r="F29" s="193">
        <f>+'Budget Detail'!G128</f>
        <v>59500</v>
      </c>
      <c r="G29" s="193">
        <f>+'Budget Detail'!J128</f>
        <v>12350</v>
      </c>
      <c r="H29" s="245">
        <f t="shared" si="0"/>
        <v>0.42923076923076925</v>
      </c>
      <c r="J29" s="31"/>
      <c r="K29" s="35"/>
      <c r="L29" s="35"/>
      <c r="M29" s="35"/>
      <c r="N29" s="35"/>
      <c r="O29" s="35"/>
      <c r="AK29" t="s">
        <v>229</v>
      </c>
    </row>
    <row r="30" spans="2:38" ht="15.75" thickTop="1" x14ac:dyDescent="0.25">
      <c r="B30" s="92"/>
      <c r="C30" s="95" t="s">
        <v>110</v>
      </c>
      <c r="D30" s="92"/>
      <c r="E30" s="96">
        <f>SUM(E22:E29)</f>
        <v>2822519.0999999992</v>
      </c>
      <c r="F30" s="96">
        <f>SUM(F22:F29)</f>
        <v>3253413.42</v>
      </c>
      <c r="G30" s="138">
        <f>SUM(G22:G29)</f>
        <v>4061276</v>
      </c>
      <c r="H30" s="242">
        <f t="shared" si="0"/>
        <v>0.69498332543762087</v>
      </c>
      <c r="J30" s="35"/>
      <c r="K30" s="35"/>
      <c r="L30" s="35"/>
      <c r="M30" s="35"/>
      <c r="N30" s="35"/>
      <c r="O30" s="35"/>
    </row>
    <row r="31" spans="2:38" x14ac:dyDescent="0.25">
      <c r="B31" s="34"/>
      <c r="C31" s="34"/>
      <c r="D31" s="34"/>
      <c r="E31" s="98"/>
      <c r="F31" s="98"/>
      <c r="G31" s="136"/>
      <c r="H31" s="244"/>
      <c r="J31" s="31"/>
      <c r="K31" s="31"/>
      <c r="L31" s="31"/>
      <c r="M31" s="31"/>
      <c r="N31" s="31"/>
      <c r="O31" s="31"/>
      <c r="P31" s="28"/>
      <c r="AK31" t="s">
        <v>230</v>
      </c>
    </row>
    <row r="32" spans="2:38" ht="15.75" thickBot="1" x14ac:dyDescent="0.3">
      <c r="B32" s="94" t="s">
        <v>131</v>
      </c>
      <c r="C32" s="36"/>
      <c r="D32" s="36"/>
      <c r="E32" s="102">
        <f>+E19-E30</f>
        <v>137474.90000000084</v>
      </c>
      <c r="F32" s="102">
        <f>+F19-F30</f>
        <v>-196975.41999999993</v>
      </c>
      <c r="G32" s="139">
        <f>+G19-G30</f>
        <v>118747.85000000009</v>
      </c>
      <c r="H32" s="246">
        <f>+E32/G32</f>
        <v>1.1577043289625937</v>
      </c>
      <c r="J32" s="122"/>
      <c r="K32" s="122"/>
      <c r="L32" s="25"/>
      <c r="M32" s="31"/>
      <c r="N32" s="31"/>
      <c r="O32" s="31"/>
      <c r="P32" s="28"/>
    </row>
    <row r="33" spans="1:29" ht="15.75" thickTop="1" x14ac:dyDescent="0.25">
      <c r="B33" s="36"/>
      <c r="C33" s="36"/>
      <c r="D33" s="36"/>
      <c r="E33" s="25"/>
      <c r="F33" s="25"/>
      <c r="G33" s="25"/>
      <c r="H33" s="25"/>
      <c r="J33" s="25"/>
      <c r="K33" s="25"/>
      <c r="L33" s="25"/>
      <c r="M33" s="31"/>
      <c r="N33" s="31"/>
      <c r="O33" s="31"/>
      <c r="P33" s="28"/>
    </row>
    <row r="34" spans="1:29" x14ac:dyDescent="0.25">
      <c r="B34" s="36"/>
      <c r="C34" s="34" t="s">
        <v>145</v>
      </c>
      <c r="D34" s="34"/>
      <c r="E34" s="195">
        <f>+E32/E19</f>
        <v>4.6444317116859306E-2</v>
      </c>
      <c r="F34" s="195">
        <f>+F32/F19</f>
        <v>-6.4446070883819637E-2</v>
      </c>
      <c r="G34" s="195">
        <f>+G32/G19</f>
        <v>2.8408414463950989E-2</v>
      </c>
      <c r="H34" s="103"/>
      <c r="J34" s="103"/>
      <c r="K34" s="103"/>
      <c r="L34" s="25"/>
      <c r="M34" s="31"/>
      <c r="N34" s="31"/>
      <c r="O34" s="31"/>
      <c r="P34" s="28"/>
    </row>
    <row r="35" spans="1:29" x14ac:dyDescent="0.25">
      <c r="B35" s="34"/>
      <c r="C35" s="34"/>
      <c r="D35" s="34"/>
      <c r="E35" s="31"/>
      <c r="F35" s="31"/>
      <c r="G35" s="31"/>
      <c r="H35" s="34"/>
      <c r="I35" s="34"/>
      <c r="J35" s="34"/>
      <c r="K35" s="34"/>
      <c r="L35" s="34"/>
      <c r="M35" s="31"/>
      <c r="N35" s="31"/>
      <c r="O35" s="31"/>
      <c r="P35" s="28"/>
    </row>
    <row r="36" spans="1:29" x14ac:dyDescent="0.25">
      <c r="B36" s="34"/>
      <c r="C36" s="34"/>
      <c r="D36" s="34"/>
      <c r="E36" s="31"/>
      <c r="F36" s="31"/>
      <c r="G36" s="31"/>
      <c r="H36" s="34"/>
      <c r="I36" s="34"/>
      <c r="J36" s="34"/>
      <c r="K36" s="34"/>
      <c r="L36" s="34"/>
      <c r="M36" s="31"/>
      <c r="N36" s="31"/>
      <c r="O36" s="31"/>
      <c r="P36" s="28"/>
    </row>
    <row r="37" spans="1:29" ht="21" customHeight="1" x14ac:dyDescent="0.25">
      <c r="A37" s="253"/>
      <c r="B37" s="347" t="s">
        <v>144</v>
      </c>
      <c r="C37" s="347"/>
      <c r="D37" s="347"/>
      <c r="E37" s="347"/>
      <c r="F37" s="255"/>
      <c r="G37" s="347" t="s">
        <v>146</v>
      </c>
      <c r="H37" s="347"/>
      <c r="I37" s="347"/>
      <c r="J37" s="347"/>
      <c r="K37" s="255"/>
      <c r="L37" s="255"/>
      <c r="M37" s="347" t="s">
        <v>149</v>
      </c>
      <c r="N37" s="347"/>
      <c r="O37" s="347"/>
      <c r="P37" s="347"/>
      <c r="Q37" s="347"/>
      <c r="R37" s="347"/>
      <c r="S37" s="347"/>
      <c r="T37" s="347"/>
      <c r="U37" s="347"/>
      <c r="V37" s="347"/>
      <c r="W37" s="347"/>
      <c r="X37" s="347"/>
      <c r="Y37" s="347"/>
      <c r="Z37" s="347"/>
      <c r="AA37" s="347"/>
      <c r="AB37" s="260"/>
    </row>
    <row r="38" spans="1:29" x14ac:dyDescent="0.25">
      <c r="B38" s="34"/>
      <c r="C38" s="34"/>
      <c r="D38" s="34"/>
      <c r="E38" s="31"/>
      <c r="F38" s="31"/>
      <c r="G38" s="31"/>
      <c r="H38" s="34"/>
      <c r="I38" s="34"/>
      <c r="J38" s="34"/>
      <c r="K38" s="34"/>
      <c r="L38" s="34"/>
      <c r="M38" s="31"/>
      <c r="N38" s="31"/>
      <c r="O38" s="31"/>
      <c r="P38" s="28"/>
    </row>
    <row r="39" spans="1:29" ht="15.75" thickBot="1" x14ac:dyDescent="0.3">
      <c r="B39" s="105" t="s">
        <v>141</v>
      </c>
      <c r="C39" s="107"/>
      <c r="D39" s="108"/>
      <c r="E39" s="143">
        <v>1852117</v>
      </c>
      <c r="F39" s="31"/>
      <c r="K39" s="34"/>
      <c r="L39" s="34"/>
      <c r="M39" s="31"/>
      <c r="N39" s="31"/>
      <c r="O39" s="31"/>
      <c r="P39" s="28"/>
    </row>
    <row r="40" spans="1:29" ht="15.75" thickBot="1" x14ac:dyDescent="0.3">
      <c r="B40" s="34"/>
      <c r="C40" s="34" t="s">
        <v>150</v>
      </c>
      <c r="D40" s="34"/>
      <c r="E40" s="125">
        <f>+E39/(G30/365)</f>
        <v>166.45574075733833</v>
      </c>
      <c r="F40" s="31"/>
      <c r="K40" s="34"/>
      <c r="L40" s="2"/>
      <c r="M40" s="261" t="s">
        <v>132</v>
      </c>
      <c r="N40" s="279" t="s">
        <v>133</v>
      </c>
      <c r="O40" s="279" t="s">
        <v>134</v>
      </c>
      <c r="P40" s="262" t="s">
        <v>135</v>
      </c>
      <c r="Q40" s="262" t="s">
        <v>136</v>
      </c>
      <c r="R40" s="262" t="s">
        <v>137</v>
      </c>
      <c r="S40" s="262" t="s">
        <v>132</v>
      </c>
      <c r="T40" s="262" t="s">
        <v>138</v>
      </c>
      <c r="U40" s="262" t="s">
        <v>139</v>
      </c>
      <c r="V40" s="262" t="s">
        <v>133</v>
      </c>
      <c r="W40" s="263" t="s">
        <v>139</v>
      </c>
    </row>
    <row r="41" spans="1:29" x14ac:dyDescent="0.25">
      <c r="F41" s="31"/>
      <c r="I41" s="3" t="s">
        <v>154</v>
      </c>
      <c r="J41" s="3" t="s">
        <v>3</v>
      </c>
      <c r="K41" s="34"/>
      <c r="L41" s="11">
        <v>6</v>
      </c>
      <c r="M41" s="209"/>
      <c r="N41" s="280">
        <v>13</v>
      </c>
      <c r="O41" s="280">
        <v>17</v>
      </c>
      <c r="P41" s="116">
        <v>17</v>
      </c>
      <c r="Q41" s="116">
        <v>18</v>
      </c>
      <c r="R41" s="116">
        <v>18</v>
      </c>
      <c r="S41" s="116">
        <v>20</v>
      </c>
      <c r="T41" s="116">
        <v>19</v>
      </c>
      <c r="U41" s="116">
        <v>19</v>
      </c>
      <c r="V41" s="116"/>
      <c r="W41" s="117"/>
    </row>
    <row r="42" spans="1:29" x14ac:dyDescent="0.25">
      <c r="B42" s="34"/>
      <c r="C42" s="34"/>
      <c r="D42" s="34"/>
      <c r="E42" s="31"/>
      <c r="F42" s="31"/>
      <c r="G42" s="348" t="s">
        <v>270</v>
      </c>
      <c r="H42" s="349"/>
      <c r="I42" s="115">
        <v>871647.33</v>
      </c>
      <c r="J42" s="106">
        <f>871647.33+'Budget Detail'!J9</f>
        <v>934147.33</v>
      </c>
      <c r="K42" s="34"/>
      <c r="L42" s="11">
        <v>7</v>
      </c>
      <c r="M42" s="24"/>
      <c r="N42" s="281">
        <v>19</v>
      </c>
      <c r="O42" s="281">
        <v>19</v>
      </c>
      <c r="P42" s="118">
        <v>21</v>
      </c>
      <c r="Q42" s="118">
        <v>22</v>
      </c>
      <c r="R42" s="118">
        <v>22</v>
      </c>
      <c r="S42" s="118">
        <v>23</v>
      </c>
      <c r="T42" s="118">
        <v>22</v>
      </c>
      <c r="U42" s="118">
        <v>22</v>
      </c>
      <c r="V42" s="118"/>
      <c r="W42" s="119"/>
    </row>
    <row r="43" spans="1:29" x14ac:dyDescent="0.25">
      <c r="F43" s="31"/>
      <c r="G43" s="94"/>
      <c r="H43" s="89"/>
      <c r="I43" s="104"/>
      <c r="J43" s="104"/>
      <c r="K43" s="34"/>
      <c r="L43" s="11">
        <v>8</v>
      </c>
      <c r="M43" s="24"/>
      <c r="N43" s="281">
        <v>28</v>
      </c>
      <c r="O43" s="281">
        <v>29</v>
      </c>
      <c r="P43" s="118">
        <v>28</v>
      </c>
      <c r="Q43" s="118">
        <v>28</v>
      </c>
      <c r="R43" s="118">
        <v>28</v>
      </c>
      <c r="S43" s="118">
        <v>28</v>
      </c>
      <c r="T43" s="118">
        <v>26</v>
      </c>
      <c r="U43" s="118">
        <v>26</v>
      </c>
      <c r="V43" s="118"/>
      <c r="W43" s="119"/>
    </row>
    <row r="44" spans="1:29" x14ac:dyDescent="0.25">
      <c r="F44" s="31"/>
      <c r="G44" s="34" t="s">
        <v>148</v>
      </c>
      <c r="H44" s="34"/>
      <c r="I44" s="141">
        <f>3831.94+3941.91+3925.43+4076.36+4002.47+4145.96+4169.49+3917.99+4178.07</f>
        <v>36189.619999999995</v>
      </c>
      <c r="J44" s="104">
        <f>'Budget Detail'!J9</f>
        <v>62500</v>
      </c>
      <c r="K44" s="34"/>
      <c r="L44" s="11">
        <v>9</v>
      </c>
      <c r="M44" s="209"/>
      <c r="N44" s="280">
        <v>42</v>
      </c>
      <c r="O44" s="280">
        <v>41</v>
      </c>
      <c r="P44" s="116">
        <v>43</v>
      </c>
      <c r="Q44" s="116">
        <v>52</v>
      </c>
      <c r="R44" s="116">
        <v>52</v>
      </c>
      <c r="S44" s="116">
        <v>55</v>
      </c>
      <c r="T44" s="116">
        <v>53</v>
      </c>
      <c r="U44" s="116">
        <v>53</v>
      </c>
      <c r="V44" s="116"/>
      <c r="W44" s="117"/>
    </row>
    <row r="45" spans="1:29" x14ac:dyDescent="0.25">
      <c r="B45" s="112"/>
      <c r="D45" s="34"/>
      <c r="E45" s="113"/>
      <c r="F45" s="31"/>
      <c r="G45" s="34"/>
      <c r="H45" s="34"/>
      <c r="I45" s="141"/>
      <c r="J45" s="104"/>
      <c r="L45" s="11">
        <v>10</v>
      </c>
      <c r="M45" s="24"/>
      <c r="N45" s="281">
        <v>48</v>
      </c>
      <c r="O45" s="281">
        <v>47</v>
      </c>
      <c r="P45" s="118">
        <v>46</v>
      </c>
      <c r="Q45" s="118">
        <v>46</v>
      </c>
      <c r="R45" s="118">
        <v>45</v>
      </c>
      <c r="S45" s="118">
        <v>46</v>
      </c>
      <c r="T45" s="118">
        <v>46</v>
      </c>
      <c r="U45" s="118">
        <v>46</v>
      </c>
      <c r="V45" s="118"/>
      <c r="W45" s="119"/>
      <c r="Y45" s="34"/>
      <c r="Z45" s="34"/>
      <c r="AA45" s="31"/>
    </row>
    <row r="46" spans="1:29" x14ac:dyDescent="0.25">
      <c r="G46" s="34" t="s">
        <v>147</v>
      </c>
      <c r="H46" s="34"/>
      <c r="I46" s="31"/>
      <c r="J46" s="114"/>
      <c r="L46" s="11">
        <v>11</v>
      </c>
      <c r="M46" s="24"/>
      <c r="N46" s="281">
        <v>40</v>
      </c>
      <c r="O46" s="281">
        <v>41</v>
      </c>
      <c r="P46" s="118">
        <v>43</v>
      </c>
      <c r="Q46" s="118">
        <v>43</v>
      </c>
      <c r="R46" s="118">
        <v>41</v>
      </c>
      <c r="S46" s="118">
        <v>47</v>
      </c>
      <c r="T46" s="118">
        <v>47</v>
      </c>
      <c r="U46" s="118">
        <v>47</v>
      </c>
      <c r="V46" s="118"/>
      <c r="W46" s="119"/>
      <c r="Y46" s="34"/>
      <c r="Z46" s="34"/>
      <c r="AA46" s="31"/>
      <c r="AC46" s="28"/>
    </row>
    <row r="47" spans="1:29" ht="15.75" thickBot="1" x14ac:dyDescent="0.3">
      <c r="G47" s="237"/>
      <c r="H47" s="34"/>
      <c r="I47" s="31">
        <v>0</v>
      </c>
      <c r="J47" s="114">
        <v>0</v>
      </c>
      <c r="L47" s="11">
        <v>12</v>
      </c>
      <c r="M47" s="249"/>
      <c r="N47" s="186">
        <v>31</v>
      </c>
      <c r="O47" s="186">
        <v>31</v>
      </c>
      <c r="P47" s="186">
        <v>30</v>
      </c>
      <c r="Q47" s="186">
        <v>29</v>
      </c>
      <c r="R47" s="186">
        <v>27</v>
      </c>
      <c r="S47" s="186">
        <v>30</v>
      </c>
      <c r="T47" s="186">
        <v>29</v>
      </c>
      <c r="U47" s="186">
        <v>29</v>
      </c>
      <c r="V47" s="186"/>
      <c r="W47" s="250"/>
      <c r="Y47" s="34"/>
      <c r="Z47" s="34"/>
      <c r="AA47" s="31"/>
      <c r="AC47" s="28"/>
    </row>
    <row r="48" spans="1:29" ht="15.75" thickBot="1" x14ac:dyDescent="0.3">
      <c r="G48" s="224"/>
      <c r="H48" s="34"/>
      <c r="I48" s="31">
        <v>0</v>
      </c>
      <c r="J48" s="114">
        <v>0</v>
      </c>
      <c r="L48" s="123" t="s">
        <v>46</v>
      </c>
      <c r="M48" s="124">
        <f>SUM(M41:M47)</f>
        <v>0</v>
      </c>
      <c r="N48" s="124">
        <f t="shared" ref="N48:W48" si="1">SUM(N41:N47)</f>
        <v>221</v>
      </c>
      <c r="O48" s="124">
        <f t="shared" si="1"/>
        <v>225</v>
      </c>
      <c r="P48" s="124">
        <f t="shared" si="1"/>
        <v>228</v>
      </c>
      <c r="Q48" s="124">
        <f t="shared" si="1"/>
        <v>238</v>
      </c>
      <c r="R48" s="124">
        <f t="shared" si="1"/>
        <v>233</v>
      </c>
      <c r="S48" s="124">
        <f t="shared" si="1"/>
        <v>249</v>
      </c>
      <c r="T48" s="124">
        <f t="shared" si="1"/>
        <v>242</v>
      </c>
      <c r="U48" s="124">
        <f t="shared" si="1"/>
        <v>242</v>
      </c>
      <c r="V48" s="124">
        <f t="shared" si="1"/>
        <v>0</v>
      </c>
      <c r="W48" s="124">
        <f t="shared" si="1"/>
        <v>0</v>
      </c>
      <c r="Y48" s="34"/>
      <c r="Z48" s="34"/>
      <c r="AA48" s="31"/>
      <c r="AC48" s="28"/>
    </row>
    <row r="49" spans="2:41" x14ac:dyDescent="0.25">
      <c r="G49" s="224"/>
      <c r="H49" s="34"/>
      <c r="I49" s="31">
        <v>0</v>
      </c>
      <c r="J49" s="114">
        <v>0</v>
      </c>
      <c r="L49" s="11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Y49" s="34"/>
      <c r="Z49" s="34"/>
      <c r="AA49" s="31"/>
      <c r="AC49" s="28"/>
    </row>
    <row r="50" spans="2:41" x14ac:dyDescent="0.25">
      <c r="G50" s="105" t="s">
        <v>271</v>
      </c>
      <c r="H50" s="108"/>
      <c r="I50" s="109">
        <f>SUM(I42:I49)</f>
        <v>907836.95</v>
      </c>
      <c r="J50" s="109">
        <f>J42</f>
        <v>934147.33</v>
      </c>
      <c r="Y50" s="34"/>
      <c r="Z50" s="34"/>
      <c r="AA50" s="31"/>
      <c r="AC50" s="28"/>
    </row>
    <row r="51" spans="2:41" x14ac:dyDescent="0.25">
      <c r="B51" s="112"/>
      <c r="D51" s="34"/>
      <c r="E51" s="113"/>
      <c r="G51" s="4"/>
      <c r="X51" s="25"/>
      <c r="Y51" s="25"/>
      <c r="Z51" s="25"/>
      <c r="AA51" s="31"/>
      <c r="AC51" s="28"/>
    </row>
    <row r="52" spans="2:41" x14ac:dyDescent="0.25">
      <c r="X52" s="4"/>
      <c r="AA52" s="31"/>
      <c r="AC52" s="28"/>
    </row>
    <row r="53" spans="2:41" x14ac:dyDescent="0.25">
      <c r="Q53" s="89"/>
      <c r="R53" s="89"/>
      <c r="S53" s="34"/>
      <c r="T53" s="25"/>
      <c r="U53" s="25"/>
      <c r="V53" s="25">
        <v>302055</v>
      </c>
      <c r="W53" s="25"/>
      <c r="X53" s="4"/>
      <c r="AA53" s="31"/>
      <c r="AC53" s="28"/>
    </row>
    <row r="54" spans="2:41" x14ac:dyDescent="0.25">
      <c r="T54" s="4"/>
      <c r="U54" s="4"/>
      <c r="V54" s="4"/>
      <c r="W54" s="4"/>
      <c r="X54" s="120"/>
      <c r="Y54" s="120"/>
      <c r="Z54" s="120"/>
      <c r="AA54" s="25"/>
      <c r="AE54" s="13"/>
      <c r="AF54" s="13"/>
      <c r="AG54" s="13"/>
      <c r="AH54" s="13"/>
      <c r="AI54" s="13"/>
      <c r="AJ54" s="13"/>
      <c r="AK54" s="13"/>
      <c r="AO54" s="11"/>
    </row>
    <row r="55" spans="2:41" x14ac:dyDescent="0.25">
      <c r="T55" s="4"/>
      <c r="U55" s="4"/>
      <c r="V55" s="4"/>
      <c r="W55" s="4"/>
      <c r="AA55" s="34"/>
    </row>
    <row r="56" spans="2:41" x14ac:dyDescent="0.25">
      <c r="E56" s="4"/>
      <c r="T56" s="4"/>
      <c r="U56" s="4"/>
      <c r="V56" s="4"/>
      <c r="W56" s="4"/>
      <c r="X56" s="4"/>
      <c r="Z56" s="111" t="s">
        <v>92</v>
      </c>
    </row>
    <row r="57" spans="2:41" x14ac:dyDescent="0.25">
      <c r="E57" s="4"/>
      <c r="T57" s="4"/>
      <c r="U57" s="4"/>
      <c r="V57" s="4"/>
      <c r="W57" s="4"/>
      <c r="X57" s="4"/>
    </row>
    <row r="58" spans="2:41" x14ac:dyDescent="0.25">
      <c r="E58" s="4"/>
      <c r="F58" s="4"/>
      <c r="G58" s="4"/>
      <c r="T58" s="4"/>
      <c r="U58" s="4"/>
      <c r="V58" s="4"/>
      <c r="W58" s="4"/>
    </row>
    <row r="59" spans="2:41" x14ac:dyDescent="0.25">
      <c r="E59" s="4"/>
      <c r="F59" s="4"/>
      <c r="G59" s="4"/>
    </row>
    <row r="60" spans="2:41" x14ac:dyDescent="0.25">
      <c r="E60" s="4"/>
      <c r="F60" s="4"/>
      <c r="G60" s="4"/>
    </row>
    <row r="61" spans="2:41" x14ac:dyDescent="0.25">
      <c r="E61" s="4"/>
      <c r="F61" s="4"/>
      <c r="G61" s="4"/>
    </row>
    <row r="62" spans="2:41" x14ac:dyDescent="0.25">
      <c r="E62" s="28"/>
      <c r="G62" s="3"/>
    </row>
    <row r="64" spans="2:41" ht="39" customHeight="1" x14ac:dyDescent="0.25"/>
    <row r="73" spans="5:7" x14ac:dyDescent="0.25">
      <c r="F73" s="94"/>
      <c r="G73" s="95"/>
    </row>
    <row r="74" spans="5:7" x14ac:dyDescent="0.25">
      <c r="F74" s="112"/>
    </row>
    <row r="75" spans="5:7" x14ac:dyDescent="0.25">
      <c r="E75" s="4"/>
      <c r="F75" s="4"/>
      <c r="G75" s="4"/>
    </row>
    <row r="76" spans="5:7" x14ac:dyDescent="0.25">
      <c r="E76" s="4"/>
      <c r="F76" s="4"/>
      <c r="G76" s="4"/>
    </row>
    <row r="77" spans="5:7" x14ac:dyDescent="0.25">
      <c r="E77" s="4"/>
      <c r="F77" s="4"/>
      <c r="G77" s="4"/>
    </row>
    <row r="78" spans="5:7" x14ac:dyDescent="0.25">
      <c r="E78" s="4"/>
      <c r="F78" s="4"/>
      <c r="G78" s="4"/>
    </row>
    <row r="79" spans="5:7" x14ac:dyDescent="0.25">
      <c r="E79" s="4"/>
      <c r="F79" s="4"/>
      <c r="G79" s="4"/>
    </row>
    <row r="80" spans="5:7" x14ac:dyDescent="0.25">
      <c r="E80" s="4"/>
      <c r="F80" s="4"/>
      <c r="G80" s="4"/>
    </row>
    <row r="81" spans="5:7" x14ac:dyDescent="0.25">
      <c r="E81" s="4"/>
      <c r="F81" s="4"/>
      <c r="G81" s="4"/>
    </row>
    <row r="82" spans="5:7" x14ac:dyDescent="0.25">
      <c r="E82" s="4"/>
      <c r="F82" s="4"/>
      <c r="G82" s="4"/>
    </row>
    <row r="83" spans="5:7" x14ac:dyDescent="0.25">
      <c r="E83" s="4"/>
      <c r="F83" s="4"/>
      <c r="G83" s="4"/>
    </row>
    <row r="84" spans="5:7" x14ac:dyDescent="0.25">
      <c r="E84" s="4"/>
      <c r="F84" s="4"/>
      <c r="G84" s="4"/>
    </row>
    <row r="85" spans="5:7" x14ac:dyDescent="0.25">
      <c r="E85" s="4"/>
      <c r="F85" s="4"/>
      <c r="G85" s="4"/>
    </row>
    <row r="86" spans="5:7" x14ac:dyDescent="0.25">
      <c r="E86" s="4"/>
      <c r="F86" s="4"/>
      <c r="G86" s="4"/>
    </row>
    <row r="87" spans="5:7" x14ac:dyDescent="0.25">
      <c r="E87" s="4"/>
      <c r="F87" s="4"/>
      <c r="G87" s="4"/>
    </row>
    <row r="88" spans="5:7" x14ac:dyDescent="0.25">
      <c r="E88" s="4"/>
      <c r="F88" s="4"/>
      <c r="G88" s="4"/>
    </row>
    <row r="89" spans="5:7" x14ac:dyDescent="0.25">
      <c r="E89" s="4"/>
      <c r="F89" s="4"/>
      <c r="G89" s="4"/>
    </row>
    <row r="90" spans="5:7" x14ac:dyDescent="0.25">
      <c r="E90" s="4"/>
      <c r="F90" s="4"/>
      <c r="G90" s="4"/>
    </row>
    <row r="91" spans="5:7" x14ac:dyDescent="0.25">
      <c r="E91" s="4"/>
      <c r="F91" s="4"/>
      <c r="G91" s="4"/>
    </row>
    <row r="92" spans="5:7" x14ac:dyDescent="0.25">
      <c r="E92" s="4"/>
      <c r="F92" s="4"/>
      <c r="G92" s="4"/>
    </row>
    <row r="93" spans="5:7" x14ac:dyDescent="0.25">
      <c r="E93" s="4"/>
      <c r="F93" s="4"/>
      <c r="G93" s="4"/>
    </row>
    <row r="94" spans="5:7" x14ac:dyDescent="0.25">
      <c r="E94" s="4"/>
      <c r="F94" s="4"/>
      <c r="G94" s="4"/>
    </row>
    <row r="95" spans="5:7" x14ac:dyDescent="0.25">
      <c r="E95" s="4"/>
      <c r="F95" s="4"/>
      <c r="G95" s="4"/>
    </row>
    <row r="96" spans="5:7" x14ac:dyDescent="0.25">
      <c r="E96" s="4"/>
      <c r="F96" s="4"/>
      <c r="G96" s="4"/>
    </row>
    <row r="97" spans="5:7" x14ac:dyDescent="0.25">
      <c r="E97" s="4"/>
      <c r="F97" s="4"/>
      <c r="G97" s="4"/>
    </row>
    <row r="98" spans="5:7" x14ac:dyDescent="0.25">
      <c r="E98" s="4"/>
      <c r="F98" s="4"/>
      <c r="G98" s="4"/>
    </row>
    <row r="99" spans="5:7" x14ac:dyDescent="0.25">
      <c r="E99" s="4"/>
      <c r="F99" s="4"/>
      <c r="G99" s="4"/>
    </row>
    <row r="100" spans="5:7" x14ac:dyDescent="0.25">
      <c r="E100" s="4"/>
      <c r="F100" s="4"/>
      <c r="G100" s="4"/>
    </row>
    <row r="101" spans="5:7" x14ac:dyDescent="0.25">
      <c r="E101" s="4"/>
      <c r="F101" s="4"/>
      <c r="G101" s="4"/>
    </row>
    <row r="102" spans="5:7" x14ac:dyDescent="0.25">
      <c r="E102" s="4"/>
      <c r="F102" s="4"/>
      <c r="G102" s="4"/>
    </row>
    <row r="103" spans="5:7" x14ac:dyDescent="0.25">
      <c r="E103" s="4"/>
      <c r="F103" s="4"/>
      <c r="G103" s="4"/>
    </row>
    <row r="104" spans="5:7" x14ac:dyDescent="0.25">
      <c r="E104" s="4"/>
      <c r="F104" s="4"/>
      <c r="G104" s="4"/>
    </row>
    <row r="105" spans="5:7" x14ac:dyDescent="0.25">
      <c r="E105" s="4"/>
      <c r="F105" s="4"/>
      <c r="G105" s="4"/>
    </row>
    <row r="106" spans="5:7" x14ac:dyDescent="0.25">
      <c r="E106" s="4"/>
      <c r="F106" s="4"/>
      <c r="G106" s="4"/>
    </row>
    <row r="107" spans="5:7" x14ac:dyDescent="0.25">
      <c r="E107" s="4"/>
      <c r="F107" s="4"/>
      <c r="G107" s="4"/>
    </row>
    <row r="108" spans="5:7" x14ac:dyDescent="0.25">
      <c r="E108" s="4"/>
      <c r="F108" s="4"/>
      <c r="G108" s="4"/>
    </row>
    <row r="109" spans="5:7" x14ac:dyDescent="0.25">
      <c r="E109" s="4"/>
      <c r="F109" s="4"/>
      <c r="G109" s="4"/>
    </row>
    <row r="110" spans="5:7" x14ac:dyDescent="0.25">
      <c r="E110" s="4"/>
      <c r="F110" s="4"/>
      <c r="G110" s="4"/>
    </row>
    <row r="111" spans="5:7" x14ac:dyDescent="0.25">
      <c r="E111" s="4"/>
      <c r="F111" s="4"/>
      <c r="G111" s="4"/>
    </row>
    <row r="112" spans="5:7" x14ac:dyDescent="0.25">
      <c r="E112" s="4"/>
      <c r="F112" s="4"/>
      <c r="G112" s="4"/>
    </row>
    <row r="113" spans="5:7" x14ac:dyDescent="0.25">
      <c r="E113" s="4"/>
      <c r="F113" s="4"/>
      <c r="G113" s="4"/>
    </row>
    <row r="114" spans="5:7" x14ac:dyDescent="0.25">
      <c r="E114" s="4"/>
      <c r="F114" s="4"/>
      <c r="G114" s="4"/>
    </row>
    <row r="115" spans="5:7" x14ac:dyDescent="0.25">
      <c r="E115" s="4"/>
      <c r="F115" s="4"/>
      <c r="G115" s="4"/>
    </row>
    <row r="116" spans="5:7" x14ac:dyDescent="0.25">
      <c r="E116" s="4"/>
      <c r="F116" s="4"/>
      <c r="G116" s="4"/>
    </row>
    <row r="117" spans="5:7" x14ac:dyDescent="0.25">
      <c r="E117" s="4"/>
      <c r="F117" s="4"/>
      <c r="G117" s="4"/>
    </row>
    <row r="118" spans="5:7" x14ac:dyDescent="0.25">
      <c r="E118" s="4"/>
      <c r="F118" s="4"/>
      <c r="G118" s="4"/>
    </row>
    <row r="119" spans="5:7" x14ac:dyDescent="0.25">
      <c r="E119" s="4"/>
      <c r="F119" s="4"/>
      <c r="G119" s="4"/>
    </row>
    <row r="120" spans="5:7" x14ac:dyDescent="0.25">
      <c r="E120" s="4"/>
      <c r="F120" s="4"/>
      <c r="G120" s="4"/>
    </row>
    <row r="121" spans="5:7" x14ac:dyDescent="0.25">
      <c r="E121" s="4"/>
      <c r="F121" s="4"/>
      <c r="G121" s="4"/>
    </row>
    <row r="122" spans="5:7" x14ac:dyDescent="0.25">
      <c r="E122" s="4"/>
      <c r="F122" s="4"/>
      <c r="G122" s="4"/>
    </row>
    <row r="123" spans="5:7" x14ac:dyDescent="0.25">
      <c r="E123" s="4"/>
      <c r="F123" s="4"/>
      <c r="G123" s="4"/>
    </row>
    <row r="124" spans="5:7" x14ac:dyDescent="0.25">
      <c r="E124" s="4"/>
      <c r="F124" s="4"/>
      <c r="G124" s="4"/>
    </row>
    <row r="125" spans="5:7" x14ac:dyDescent="0.25">
      <c r="E125" s="4"/>
      <c r="F125" s="4"/>
      <c r="G125" s="4"/>
    </row>
    <row r="126" spans="5:7" x14ac:dyDescent="0.25">
      <c r="E126" s="4"/>
      <c r="F126" s="4"/>
      <c r="G126" s="4"/>
    </row>
    <row r="127" spans="5:7" x14ac:dyDescent="0.25">
      <c r="E127" s="4"/>
      <c r="F127" s="4"/>
      <c r="G127" s="4"/>
    </row>
    <row r="128" spans="5:7" x14ac:dyDescent="0.25">
      <c r="E128" s="4"/>
      <c r="F128" s="4"/>
      <c r="G128" s="4"/>
    </row>
    <row r="129" spans="5:7" x14ac:dyDescent="0.25">
      <c r="E129" s="4"/>
      <c r="F129" s="4"/>
      <c r="G129" s="4"/>
    </row>
    <row r="130" spans="5:7" x14ac:dyDescent="0.25">
      <c r="E130" s="4"/>
      <c r="F130" s="4"/>
      <c r="G130" s="4"/>
    </row>
    <row r="131" spans="5:7" x14ac:dyDescent="0.25">
      <c r="E131" s="4"/>
      <c r="F131" s="4"/>
      <c r="G131" s="4"/>
    </row>
    <row r="132" spans="5:7" x14ac:dyDescent="0.25">
      <c r="E132" s="4"/>
      <c r="F132" s="4"/>
      <c r="G132" s="4"/>
    </row>
    <row r="133" spans="5:7" x14ac:dyDescent="0.25">
      <c r="E133" s="4"/>
      <c r="F133" s="4"/>
      <c r="G133" s="4"/>
    </row>
    <row r="134" spans="5:7" x14ac:dyDescent="0.25">
      <c r="E134" s="4"/>
      <c r="F134" s="4"/>
      <c r="G134" s="4"/>
    </row>
    <row r="135" spans="5:7" x14ac:dyDescent="0.25">
      <c r="E135" s="4"/>
      <c r="F135" s="4"/>
      <c r="G135" s="4"/>
    </row>
    <row r="136" spans="5:7" x14ac:dyDescent="0.25">
      <c r="E136" s="4"/>
      <c r="F136" s="4"/>
      <c r="G136" s="4"/>
    </row>
    <row r="137" spans="5:7" x14ac:dyDescent="0.25">
      <c r="E137" s="4"/>
      <c r="F137" s="4"/>
      <c r="G137" s="4"/>
    </row>
    <row r="138" spans="5:7" x14ac:dyDescent="0.25">
      <c r="E138" s="4"/>
      <c r="F138" s="4"/>
      <c r="G138" s="4"/>
    </row>
    <row r="139" spans="5:7" x14ac:dyDescent="0.25">
      <c r="E139" s="4"/>
      <c r="F139" s="4"/>
      <c r="G139" s="4"/>
    </row>
    <row r="140" spans="5:7" x14ac:dyDescent="0.25">
      <c r="E140" s="4"/>
      <c r="F140" s="4"/>
      <c r="G140" s="4"/>
    </row>
    <row r="141" spans="5:7" x14ac:dyDescent="0.25">
      <c r="E141" s="4"/>
      <c r="F141" s="4"/>
      <c r="G141" s="4"/>
    </row>
    <row r="142" spans="5:7" x14ac:dyDescent="0.25">
      <c r="E142" s="4"/>
      <c r="F142" s="4"/>
      <c r="G142" s="4"/>
    </row>
    <row r="143" spans="5:7" x14ac:dyDescent="0.25">
      <c r="E143" s="4"/>
      <c r="F143" s="4"/>
      <c r="G143" s="4"/>
    </row>
    <row r="144" spans="5:7" x14ac:dyDescent="0.25">
      <c r="E144" s="4"/>
      <c r="F144" s="4"/>
      <c r="G144" s="4"/>
    </row>
    <row r="145" spans="5:7" x14ac:dyDescent="0.25">
      <c r="E145" s="4"/>
      <c r="F145" s="4"/>
      <c r="G145" s="4"/>
    </row>
    <row r="146" spans="5:7" x14ac:dyDescent="0.25">
      <c r="E146" s="4"/>
      <c r="F146" s="4"/>
      <c r="G146" s="4"/>
    </row>
    <row r="147" spans="5:7" x14ac:dyDescent="0.25">
      <c r="E147" s="4"/>
      <c r="F147" s="4"/>
      <c r="G147" s="4"/>
    </row>
    <row r="148" spans="5:7" x14ac:dyDescent="0.25">
      <c r="E148" s="4"/>
      <c r="F148" s="4"/>
      <c r="G148" s="4"/>
    </row>
    <row r="149" spans="5:7" x14ac:dyDescent="0.25">
      <c r="E149" s="4"/>
      <c r="F149" s="4"/>
      <c r="G149" s="4"/>
    </row>
    <row r="150" spans="5:7" x14ac:dyDescent="0.25">
      <c r="E150" s="4"/>
      <c r="F150" s="4"/>
      <c r="G150" s="4"/>
    </row>
    <row r="151" spans="5:7" x14ac:dyDescent="0.25">
      <c r="E151" s="4"/>
      <c r="F151" s="4"/>
      <c r="G151" s="4"/>
    </row>
    <row r="152" spans="5:7" x14ac:dyDescent="0.25">
      <c r="E152" s="4"/>
      <c r="F152" s="4"/>
      <c r="G152" s="4"/>
    </row>
    <row r="153" spans="5:7" x14ac:dyDescent="0.25">
      <c r="E153" s="4"/>
      <c r="F153" s="4"/>
      <c r="G153" s="4"/>
    </row>
    <row r="154" spans="5:7" x14ac:dyDescent="0.25">
      <c r="E154" s="4"/>
      <c r="F154" s="4"/>
      <c r="G154" s="4"/>
    </row>
    <row r="155" spans="5:7" x14ac:dyDescent="0.25">
      <c r="E155" s="4"/>
      <c r="F155" s="4"/>
      <c r="G155" s="4"/>
    </row>
    <row r="156" spans="5:7" x14ac:dyDescent="0.25">
      <c r="E156" s="4"/>
      <c r="F156" s="4"/>
      <c r="G156" s="4"/>
    </row>
    <row r="157" spans="5:7" x14ac:dyDescent="0.25">
      <c r="E157" s="4"/>
      <c r="F157" s="4"/>
      <c r="G157" s="4"/>
    </row>
    <row r="158" spans="5:7" x14ac:dyDescent="0.25">
      <c r="E158" s="4"/>
      <c r="F158" s="4"/>
      <c r="G158" s="4"/>
    </row>
    <row r="159" spans="5:7" x14ac:dyDescent="0.25">
      <c r="E159" s="4"/>
      <c r="F159" s="4"/>
      <c r="G159" s="4"/>
    </row>
    <row r="160" spans="5:7" x14ac:dyDescent="0.25">
      <c r="E160" s="4"/>
      <c r="F160" s="4"/>
      <c r="G160" s="4"/>
    </row>
    <row r="161" spans="5:7" x14ac:dyDescent="0.25">
      <c r="E161" s="4"/>
      <c r="F161" s="4"/>
      <c r="G161" s="4"/>
    </row>
    <row r="162" spans="5:7" x14ac:dyDescent="0.25">
      <c r="E162" s="4"/>
      <c r="F162" s="4"/>
      <c r="G162" s="4"/>
    </row>
    <row r="163" spans="5:7" x14ac:dyDescent="0.25">
      <c r="F163" s="4"/>
      <c r="G163" s="4"/>
    </row>
    <row r="164" spans="5:7" x14ac:dyDescent="0.25">
      <c r="F164" s="4"/>
      <c r="G164" s="4"/>
    </row>
  </sheetData>
  <mergeCells count="8">
    <mergeCell ref="M37:AA37"/>
    <mergeCell ref="G42:H42"/>
    <mergeCell ref="G11:G12"/>
    <mergeCell ref="J2:L2"/>
    <mergeCell ref="B9:C9"/>
    <mergeCell ref="B37:E37"/>
    <mergeCell ref="G37:J37"/>
    <mergeCell ref="J9:S9"/>
  </mergeCells>
  <conditionalFormatting sqref="H16:H19">
    <cfRule type="cellIs" dxfId="7" priority="5" operator="lessThan">
      <formula>$B$9-5%</formula>
    </cfRule>
    <cfRule type="cellIs" dxfId="6" priority="6" operator="greaterThan">
      <formula>$B$9+5%</formula>
    </cfRule>
  </conditionalFormatting>
  <conditionalFormatting sqref="H22:H30">
    <cfRule type="cellIs" dxfId="5" priority="2" operator="lessThan">
      <formula>$B$9-5%</formula>
    </cfRule>
    <cfRule type="cellIs" dxfId="4" priority="3" operator="greaterThan">
      <formula>$B$9+5%</formula>
    </cfRule>
  </conditionalFormatting>
  <printOptions horizontalCentered="1"/>
  <pageMargins left="0.21" right="0.17" top="0.23" bottom="0.26" header="0.3" footer="0.3"/>
  <pageSetup scale="61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81"/>
  <sheetViews>
    <sheetView showGridLines="0" zoomScale="145" zoomScaleNormal="145" workbookViewId="0">
      <pane xSplit="4" ySplit="6" topLeftCell="F122" activePane="bottomRight" state="frozen"/>
      <selection activeCell="A2" sqref="A2"/>
      <selection pane="topRight" activeCell="E2" sqref="E2"/>
      <selection pane="bottomLeft" activeCell="A7" sqref="A7"/>
      <selection pane="bottomRight" activeCell="P125" sqref="P125"/>
    </sheetView>
  </sheetViews>
  <sheetFormatPr defaultColWidth="9.140625" defaultRowHeight="15" x14ac:dyDescent="0.25"/>
  <cols>
    <col min="1" max="1" width="3.7109375" style="148" customWidth="1"/>
    <col min="2" max="3" width="5.7109375" style="148" customWidth="1"/>
    <col min="4" max="4" width="37.85546875" style="148" bestFit="1" customWidth="1"/>
    <col min="5" max="5" width="12.7109375" style="148" hidden="1" customWidth="1"/>
    <col min="6" max="6" width="13.42578125" style="148" customWidth="1"/>
    <col min="7" max="7" width="12.7109375" style="148" hidden="1" customWidth="1"/>
    <col min="8" max="8" width="2.7109375" style="148" hidden="1" customWidth="1"/>
    <col min="9" max="9" width="13.7109375" style="148" hidden="1" customWidth="1"/>
    <col min="10" max="10" width="12.7109375" style="148" customWidth="1"/>
    <col min="11" max="11" width="10" style="148" hidden="1" customWidth="1"/>
    <col min="12" max="12" width="15.85546875" style="148" bestFit="1" customWidth="1"/>
    <col min="13" max="13" width="10" style="148" hidden="1" customWidth="1"/>
    <col min="14" max="14" width="24.28515625" style="148" hidden="1" customWidth="1"/>
    <col min="15" max="15" width="14.28515625" style="148" bestFit="1" customWidth="1"/>
    <col min="16" max="16" width="36.85546875" style="148" bestFit="1" customWidth="1"/>
    <col min="17" max="17" width="18.5703125" style="148" customWidth="1"/>
    <col min="18" max="18" width="9.140625" style="148"/>
    <col min="19" max="19" width="12.28515625" style="148" bestFit="1" customWidth="1"/>
    <col min="20" max="20" width="14.28515625" style="148" bestFit="1" customWidth="1"/>
    <col min="21" max="21" width="9.140625" style="148"/>
    <col min="22" max="22" width="15.140625" style="148" bestFit="1" customWidth="1"/>
    <col min="23" max="16384" width="9.140625" style="148"/>
  </cols>
  <sheetData>
    <row r="1" spans="1:22" ht="14.25" hidden="1" customHeight="1" x14ac:dyDescent="0.25">
      <c r="J1" s="239" t="str">
        <f>TEXT(Summary!K3,"mmmm dd, yyyy")</f>
        <v>May 31, 2024</v>
      </c>
      <c r="K1" s="148" t="str">
        <f>TEXT(Summary!B9,"0.0%")</f>
        <v>91.7%</v>
      </c>
    </row>
    <row r="2" spans="1:22" ht="26.25" x14ac:dyDescent="0.4">
      <c r="B2" s="149"/>
      <c r="C2" s="149"/>
      <c r="D2" s="149"/>
    </row>
    <row r="3" spans="1:22" ht="45.75" customHeight="1" x14ac:dyDescent="0.35">
      <c r="B3" s="150" t="s">
        <v>42</v>
      </c>
      <c r="D3" s="151"/>
    </row>
    <row r="4" spans="1:22" ht="9.75" customHeight="1" x14ac:dyDescent="0.25">
      <c r="A4" s="344"/>
      <c r="B4" s="344"/>
      <c r="C4" s="344"/>
      <c r="D4" s="344"/>
    </row>
    <row r="5" spans="1:22" x14ac:dyDescent="0.25">
      <c r="D5" s="152"/>
      <c r="E5" s="153" t="s">
        <v>237</v>
      </c>
      <c r="F5" s="153" t="s">
        <v>308</v>
      </c>
      <c r="G5" s="153" t="s">
        <v>262</v>
      </c>
      <c r="H5" s="153"/>
      <c r="I5" s="153"/>
      <c r="J5" s="153" t="s">
        <v>291</v>
      </c>
      <c r="O5" s="356" t="s">
        <v>303</v>
      </c>
    </row>
    <row r="6" spans="1:22" s="154" customFormat="1" ht="30.75" customHeight="1" x14ac:dyDescent="0.25">
      <c r="D6" s="235"/>
      <c r="E6" s="155" t="s">
        <v>8</v>
      </c>
      <c r="F6" s="156" t="s">
        <v>286</v>
      </c>
      <c r="G6" s="157" t="s">
        <v>261</v>
      </c>
      <c r="H6" s="156"/>
      <c r="I6" s="155" t="s">
        <v>167</v>
      </c>
      <c r="J6" s="155" t="s">
        <v>287</v>
      </c>
      <c r="K6" s="157" t="s">
        <v>7</v>
      </c>
      <c r="L6" s="157" t="s">
        <v>273</v>
      </c>
      <c r="O6" s="156" t="s">
        <v>288</v>
      </c>
    </row>
    <row r="7" spans="1:22" ht="21" x14ac:dyDescent="0.35">
      <c r="A7" s="267" t="s">
        <v>0</v>
      </c>
      <c r="B7" s="268"/>
      <c r="C7" s="268"/>
      <c r="D7" s="268"/>
      <c r="E7" s="269"/>
      <c r="F7" s="269"/>
      <c r="G7" s="270"/>
      <c r="H7" s="158"/>
      <c r="I7" s="268"/>
      <c r="J7" s="268"/>
      <c r="K7" s="268"/>
      <c r="L7" s="288"/>
      <c r="M7" s="288"/>
      <c r="N7" s="288"/>
      <c r="O7" s="288"/>
    </row>
    <row r="8" spans="1:22" x14ac:dyDescent="0.25">
      <c r="B8" s="148">
        <v>1000</v>
      </c>
      <c r="C8" s="148" t="s">
        <v>4</v>
      </c>
      <c r="E8" s="159"/>
      <c r="F8" s="159"/>
      <c r="G8" s="159"/>
      <c r="H8" s="159"/>
      <c r="I8" s="159"/>
    </row>
    <row r="9" spans="1:22" x14ac:dyDescent="0.25">
      <c r="C9" s="148">
        <v>1510</v>
      </c>
      <c r="D9" s="148" t="s">
        <v>197</v>
      </c>
      <c r="E9" s="160">
        <v>33315.42</v>
      </c>
      <c r="F9" s="159">
        <v>47846</v>
      </c>
      <c r="G9" s="226">
        <v>32500</v>
      </c>
      <c r="H9" s="159"/>
      <c r="I9" s="159">
        <f t="shared" ref="I9:I14" si="0">J9-G9</f>
        <v>30000</v>
      </c>
      <c r="J9" s="226">
        <v>62500</v>
      </c>
      <c r="K9" s="162">
        <f t="shared" ref="K9:K15" si="1">F9/J9</f>
        <v>0.76553599999999999</v>
      </c>
      <c r="L9" s="160">
        <f>O9-J9</f>
        <v>5000</v>
      </c>
      <c r="O9" s="290">
        <v>67500</v>
      </c>
    </row>
    <row r="10" spans="1:22" x14ac:dyDescent="0.25">
      <c r="C10" s="148">
        <v>1400</v>
      </c>
      <c r="D10" s="148" t="s">
        <v>259</v>
      </c>
      <c r="E10" s="160">
        <v>327.84</v>
      </c>
      <c r="F10" s="159">
        <v>543</v>
      </c>
      <c r="G10" s="226">
        <v>400</v>
      </c>
      <c r="H10" s="159"/>
      <c r="I10" s="159">
        <f t="shared" si="0"/>
        <v>200</v>
      </c>
      <c r="J10" s="226">
        <v>600</v>
      </c>
      <c r="K10" s="162">
        <f t="shared" si="1"/>
        <v>0.90500000000000003</v>
      </c>
      <c r="L10" s="160">
        <f t="shared" ref="L10:L14" si="2">O10-J10</f>
        <v>-100</v>
      </c>
      <c r="O10" s="290">
        <v>500</v>
      </c>
    </row>
    <row r="11" spans="1:22" x14ac:dyDescent="0.25">
      <c r="C11" s="148">
        <v>1700</v>
      </c>
      <c r="D11" s="148" t="s">
        <v>233</v>
      </c>
      <c r="E11" s="160">
        <v>123.11</v>
      </c>
      <c r="F11" s="159">
        <v>329</v>
      </c>
      <c r="G11" s="226">
        <v>1000</v>
      </c>
      <c r="H11" s="159"/>
      <c r="I11" s="159">
        <f t="shared" si="0"/>
        <v>0</v>
      </c>
      <c r="J11" s="226">
        <v>1000</v>
      </c>
      <c r="K11" s="162">
        <f t="shared" si="1"/>
        <v>0.32900000000000001</v>
      </c>
      <c r="L11" s="160">
        <f t="shared" si="2"/>
        <v>0</v>
      </c>
      <c r="O11" s="290">
        <v>1000</v>
      </c>
    </row>
    <row r="12" spans="1:22" x14ac:dyDescent="0.25">
      <c r="A12" s="204"/>
      <c r="B12" s="204"/>
      <c r="C12" s="204">
        <v>1920</v>
      </c>
      <c r="D12" s="204" t="s">
        <v>231</v>
      </c>
      <c r="E12" s="205">
        <v>992.63</v>
      </c>
      <c r="F12" s="206">
        <v>8467</v>
      </c>
      <c r="G12" s="227">
        <v>5000</v>
      </c>
      <c r="H12" s="206"/>
      <c r="I12" s="206">
        <f t="shared" si="0"/>
        <v>5000</v>
      </c>
      <c r="J12" s="227">
        <v>10000</v>
      </c>
      <c r="K12" s="162">
        <f t="shared" si="1"/>
        <v>0.84670000000000001</v>
      </c>
      <c r="L12" s="205">
        <f t="shared" si="2"/>
        <v>0</v>
      </c>
      <c r="M12" s="204"/>
      <c r="N12" s="204"/>
      <c r="O12" s="294">
        <v>10000</v>
      </c>
    </row>
    <row r="13" spans="1:22" x14ac:dyDescent="0.25">
      <c r="A13" s="204"/>
      <c r="B13" s="204"/>
      <c r="C13" s="204" t="s">
        <v>289</v>
      </c>
      <c r="D13" s="204" t="s">
        <v>290</v>
      </c>
      <c r="E13" s="205"/>
      <c r="F13" s="206">
        <v>12000</v>
      </c>
      <c r="G13" s="227"/>
      <c r="H13" s="206"/>
      <c r="I13" s="206"/>
      <c r="J13" s="227">
        <v>12000</v>
      </c>
      <c r="K13" s="162">
        <f t="shared" si="1"/>
        <v>1</v>
      </c>
      <c r="L13" s="205">
        <f t="shared" si="2"/>
        <v>-12000</v>
      </c>
      <c r="M13" s="204"/>
      <c r="N13" s="204"/>
      <c r="O13" s="294">
        <v>0</v>
      </c>
    </row>
    <row r="14" spans="1:22" x14ac:dyDescent="0.25">
      <c r="A14" s="204"/>
      <c r="B14" s="204"/>
      <c r="C14" s="204">
        <v>1990</v>
      </c>
      <c r="D14" s="233" t="s">
        <v>232</v>
      </c>
      <c r="E14" s="205">
        <v>3640.48</v>
      </c>
      <c r="F14" s="206">
        <v>1827</v>
      </c>
      <c r="G14" s="227">
        <v>500</v>
      </c>
      <c r="H14" s="159"/>
      <c r="I14" s="206">
        <f t="shared" si="0"/>
        <v>2000</v>
      </c>
      <c r="J14" s="227">
        <v>2500</v>
      </c>
      <c r="K14" s="162">
        <f t="shared" si="1"/>
        <v>0.73080000000000001</v>
      </c>
      <c r="L14" s="205">
        <f t="shared" si="2"/>
        <v>0</v>
      </c>
      <c r="M14" s="204"/>
      <c r="N14" s="204"/>
      <c r="O14" s="294">
        <v>2500</v>
      </c>
    </row>
    <row r="15" spans="1:22" ht="15.75" thickBot="1" x14ac:dyDescent="0.3">
      <c r="A15" s="166"/>
      <c r="B15" s="166"/>
      <c r="C15" s="166"/>
      <c r="D15" s="167" t="s">
        <v>17</v>
      </c>
      <c r="E15" s="168">
        <f>SUM(E9:E14)</f>
        <v>38399.479999999996</v>
      </c>
      <c r="F15" s="240">
        <f>SUM(F9:F14)</f>
        <v>71012</v>
      </c>
      <c r="G15" s="168">
        <f>SUM(G9:G14)</f>
        <v>39400</v>
      </c>
      <c r="H15" s="169"/>
      <c r="I15" s="170">
        <f>SUM(I9:I14)</f>
        <v>37200</v>
      </c>
      <c r="J15" s="170">
        <f>SUM(J9:J14)</f>
        <v>88600</v>
      </c>
      <c r="K15" s="171">
        <f t="shared" si="1"/>
        <v>0.80148984198645601</v>
      </c>
      <c r="L15" s="295">
        <f>SUM(L9:L14)</f>
        <v>-7100</v>
      </c>
      <c r="M15" s="296">
        <f>SUM(M9:M14)</f>
        <v>0</v>
      </c>
      <c r="N15" s="296">
        <f>SUM(N9:N14)</f>
        <v>0</v>
      </c>
      <c r="O15" s="296">
        <f>SUM(O9:O14)</f>
        <v>81500</v>
      </c>
      <c r="V15" s="248"/>
    </row>
    <row r="16" spans="1:22" ht="16.5" thickTop="1" thickBot="1" x14ac:dyDescent="0.3">
      <c r="B16" s="148">
        <v>3000</v>
      </c>
      <c r="C16" s="148" t="s">
        <v>6</v>
      </c>
      <c r="E16" s="159"/>
      <c r="F16" s="159"/>
      <c r="G16" s="159"/>
      <c r="H16" s="159"/>
      <c r="I16" s="159"/>
      <c r="J16" s="159"/>
      <c r="K16" s="172"/>
      <c r="V16" s="289"/>
    </row>
    <row r="17" spans="1:22" ht="15" customHeight="1" thickBot="1" x14ac:dyDescent="0.3">
      <c r="C17" s="148">
        <v>3010</v>
      </c>
      <c r="D17" s="148" t="s">
        <v>19</v>
      </c>
      <c r="E17" s="160">
        <v>1224002.01</v>
      </c>
      <c r="F17" s="159">
        <v>1028652</v>
      </c>
      <c r="G17" s="226">
        <v>1296885</v>
      </c>
      <c r="H17" s="159"/>
      <c r="I17" s="159">
        <f t="shared" ref="I17:I44" si="3">J17-G17</f>
        <v>67904</v>
      </c>
      <c r="J17" s="226">
        <v>1364789</v>
      </c>
      <c r="K17" s="162">
        <f t="shared" ref="K17:K25" si="4">F17/J17</f>
        <v>0.75370771599126307</v>
      </c>
      <c r="L17" s="306">
        <f>O17-J17</f>
        <v>-64688</v>
      </c>
      <c r="O17" s="286">
        <v>1300101</v>
      </c>
      <c r="P17" s="329" t="s">
        <v>298</v>
      </c>
      <c r="V17" s="289"/>
    </row>
    <row r="18" spans="1:22" x14ac:dyDescent="0.25">
      <c r="C18" s="148">
        <v>3105</v>
      </c>
      <c r="D18" s="148" t="s">
        <v>20</v>
      </c>
      <c r="E18" s="160">
        <v>81422.11</v>
      </c>
      <c r="F18" s="159">
        <v>87986</v>
      </c>
      <c r="G18" s="226">
        <v>69014</v>
      </c>
      <c r="H18" s="159"/>
      <c r="I18" s="159">
        <f t="shared" si="3"/>
        <v>42123</v>
      </c>
      <c r="J18" s="226">
        <v>111137</v>
      </c>
      <c r="K18" s="162">
        <f t="shared" si="4"/>
        <v>0.79168953633803318</v>
      </c>
      <c r="L18" s="306">
        <f t="shared" ref="L18:L45" si="5">O18-J18</f>
        <v>-7794</v>
      </c>
      <c r="O18" s="290">
        <v>103343</v>
      </c>
      <c r="V18" s="289"/>
    </row>
    <row r="19" spans="1:22" x14ac:dyDescent="0.25">
      <c r="A19" s="163"/>
      <c r="B19" s="163"/>
      <c r="C19" s="163">
        <v>3110</v>
      </c>
      <c r="D19" s="163" t="s">
        <v>21</v>
      </c>
      <c r="E19" s="164">
        <v>10835.3</v>
      </c>
      <c r="F19" s="165">
        <v>0</v>
      </c>
      <c r="G19" s="228">
        <v>5992</v>
      </c>
      <c r="H19" s="159"/>
      <c r="I19" s="206">
        <f t="shared" si="3"/>
        <v>-5992</v>
      </c>
      <c r="J19" s="228">
        <v>0</v>
      </c>
      <c r="K19" s="162" t="e">
        <f t="shared" si="4"/>
        <v>#DIV/0!</v>
      </c>
      <c r="L19" s="322">
        <f t="shared" si="5"/>
        <v>0</v>
      </c>
      <c r="M19" s="204"/>
      <c r="N19" s="204"/>
      <c r="O19" s="294">
        <v>0</v>
      </c>
    </row>
    <row r="20" spans="1:22" x14ac:dyDescent="0.25">
      <c r="A20" s="163"/>
      <c r="B20" s="163"/>
      <c r="C20" s="163">
        <v>3120</v>
      </c>
      <c r="D20" s="163" t="s">
        <v>162</v>
      </c>
      <c r="E20" s="164">
        <v>2455</v>
      </c>
      <c r="F20" s="165">
        <v>1694</v>
      </c>
      <c r="G20" s="228">
        <v>2425</v>
      </c>
      <c r="H20" s="159"/>
      <c r="I20" s="206">
        <f t="shared" si="3"/>
        <v>-166</v>
      </c>
      <c r="J20" s="228">
        <v>2259</v>
      </c>
      <c r="K20" s="162">
        <f t="shared" si="4"/>
        <v>0.74988933156263837</v>
      </c>
      <c r="L20" s="322">
        <f t="shared" si="5"/>
        <v>0</v>
      </c>
      <c r="M20" s="204"/>
      <c r="N20" s="204"/>
      <c r="O20" s="294">
        <v>2259</v>
      </c>
    </row>
    <row r="21" spans="1:22" x14ac:dyDescent="0.25">
      <c r="A21" s="163"/>
      <c r="B21" s="163"/>
      <c r="C21" s="163">
        <v>3125</v>
      </c>
      <c r="D21" s="163" t="s">
        <v>211</v>
      </c>
      <c r="E21" s="164">
        <v>986.68</v>
      </c>
      <c r="F21" s="165">
        <v>757</v>
      </c>
      <c r="G21" s="228">
        <v>836</v>
      </c>
      <c r="H21" s="159"/>
      <c r="I21" s="206">
        <f t="shared" si="3"/>
        <v>173</v>
      </c>
      <c r="J21" s="228">
        <v>1009</v>
      </c>
      <c r="K21" s="162">
        <f t="shared" si="4"/>
        <v>0.7502477700693756</v>
      </c>
      <c r="L21" s="322">
        <f t="shared" si="5"/>
        <v>46</v>
      </c>
      <c r="M21" s="204"/>
      <c r="N21" s="204"/>
      <c r="O21" s="294">
        <v>1055</v>
      </c>
    </row>
    <row r="22" spans="1:22" x14ac:dyDescent="0.25">
      <c r="C22" s="148">
        <v>3178</v>
      </c>
      <c r="D22" s="148" t="s">
        <v>210</v>
      </c>
      <c r="E22" s="160">
        <v>1000</v>
      </c>
      <c r="F22" s="159">
        <v>928</v>
      </c>
      <c r="G22" s="226">
        <v>1000</v>
      </c>
      <c r="H22" s="159"/>
      <c r="I22" s="159">
        <f t="shared" si="3"/>
        <v>-72</v>
      </c>
      <c r="J22" s="226">
        <v>928</v>
      </c>
      <c r="K22" s="162">
        <f t="shared" si="4"/>
        <v>1</v>
      </c>
      <c r="L22" s="306">
        <f t="shared" si="5"/>
        <v>-928</v>
      </c>
      <c r="O22" s="290">
        <v>0</v>
      </c>
    </row>
    <row r="23" spans="1:22" x14ac:dyDescent="0.25">
      <c r="C23" s="148">
        <v>3201</v>
      </c>
      <c r="D23" s="148" t="s">
        <v>205</v>
      </c>
      <c r="E23" s="160">
        <v>27456.05</v>
      </c>
      <c r="F23" s="159">
        <v>20217</v>
      </c>
      <c r="G23" s="226">
        <v>29300</v>
      </c>
      <c r="H23" s="159"/>
      <c r="I23" s="159">
        <f t="shared" si="3"/>
        <v>-2545</v>
      </c>
      <c r="J23" s="226">
        <v>26755</v>
      </c>
      <c r="K23" s="162">
        <f t="shared" si="4"/>
        <v>0.75563446084843955</v>
      </c>
      <c r="L23" s="306">
        <f t="shared" si="5"/>
        <v>21806</v>
      </c>
      <c r="O23" s="290">
        <v>48561</v>
      </c>
      <c r="P23" s="305"/>
    </row>
    <row r="24" spans="1:22" x14ac:dyDescent="0.25">
      <c r="C24" s="148">
        <v>3210</v>
      </c>
      <c r="D24" s="148" t="s">
        <v>266</v>
      </c>
      <c r="E24" s="160">
        <v>0</v>
      </c>
      <c r="F24" s="159">
        <v>82127</v>
      </c>
      <c r="G24" s="226">
        <v>0</v>
      </c>
      <c r="H24" s="159"/>
      <c r="I24" s="159">
        <f t="shared" si="3"/>
        <v>108127</v>
      </c>
      <c r="J24" s="226">
        <v>108127</v>
      </c>
      <c r="K24" s="162">
        <f t="shared" si="4"/>
        <v>0.75954202003199944</v>
      </c>
      <c r="L24" s="306">
        <f t="shared" si="5"/>
        <v>-2086</v>
      </c>
      <c r="O24" s="290">
        <v>106041</v>
      </c>
    </row>
    <row r="25" spans="1:22" x14ac:dyDescent="0.25">
      <c r="A25" s="204"/>
      <c r="B25" s="204"/>
      <c r="C25" s="204">
        <v>3336</v>
      </c>
      <c r="D25" s="204" t="s">
        <v>163</v>
      </c>
      <c r="E25" s="205">
        <v>156820.07999999999</v>
      </c>
      <c r="F25" s="206">
        <v>130840</v>
      </c>
      <c r="G25" s="227">
        <v>156820</v>
      </c>
      <c r="H25" s="206"/>
      <c r="I25" s="206">
        <f>J25-G25</f>
        <v>10182</v>
      </c>
      <c r="J25" s="227">
        <v>167002</v>
      </c>
      <c r="K25" s="162">
        <f t="shared" si="4"/>
        <v>0.78346367109375936</v>
      </c>
      <c r="L25" s="322">
        <f t="shared" si="5"/>
        <v>35298</v>
      </c>
      <c r="M25" s="204" t="s">
        <v>215</v>
      </c>
      <c r="N25" s="204"/>
      <c r="O25" s="294">
        <v>202300</v>
      </c>
    </row>
    <row r="26" spans="1:22" x14ac:dyDescent="0.25">
      <c r="A26" s="204"/>
      <c r="B26" s="204"/>
      <c r="C26" s="204">
        <v>3520</v>
      </c>
      <c r="D26" s="204" t="s">
        <v>22</v>
      </c>
      <c r="E26" s="205">
        <v>44106.74</v>
      </c>
      <c r="F26" s="206">
        <v>54611</v>
      </c>
      <c r="G26" s="227">
        <v>47449</v>
      </c>
      <c r="H26" s="159"/>
      <c r="I26" s="206">
        <f t="shared" si="3"/>
        <v>7162</v>
      </c>
      <c r="J26" s="227">
        <v>54611</v>
      </c>
      <c r="K26" s="162">
        <f t="shared" ref="K26:K29" si="6">F26/J26</f>
        <v>1</v>
      </c>
      <c r="L26" s="322">
        <f t="shared" si="5"/>
        <v>14572</v>
      </c>
      <c r="M26" s="204"/>
      <c r="N26" s="204"/>
      <c r="O26" s="294">
        <v>69183</v>
      </c>
    </row>
    <row r="27" spans="1:22" x14ac:dyDescent="0.25">
      <c r="A27" s="204"/>
      <c r="B27" s="204"/>
      <c r="C27" s="204">
        <v>3411</v>
      </c>
      <c r="D27" s="204" t="s">
        <v>236</v>
      </c>
      <c r="E27" s="205">
        <v>12000</v>
      </c>
      <c r="F27" s="206">
        <v>0</v>
      </c>
      <c r="G27" s="227">
        <v>15047</v>
      </c>
      <c r="H27" s="159"/>
      <c r="I27" s="206">
        <f t="shared" ref="I27:I29" si="7">J27-G27</f>
        <v>-15047</v>
      </c>
      <c r="J27" s="227">
        <v>0</v>
      </c>
      <c r="K27" s="162" t="e">
        <f>F27/J27</f>
        <v>#DIV/0!</v>
      </c>
      <c r="L27" s="322">
        <f t="shared" si="5"/>
        <v>0</v>
      </c>
      <c r="M27" s="204"/>
      <c r="N27" s="204"/>
      <c r="O27" s="294">
        <v>0</v>
      </c>
    </row>
    <row r="28" spans="1:22" x14ac:dyDescent="0.25">
      <c r="C28" s="148">
        <v>3579</v>
      </c>
      <c r="D28" s="148" t="s">
        <v>234</v>
      </c>
      <c r="E28" s="160">
        <v>11335.06</v>
      </c>
      <c r="F28" s="159">
        <v>7257</v>
      </c>
      <c r="G28" s="226">
        <v>32082</v>
      </c>
      <c r="H28" s="159"/>
      <c r="I28" s="159">
        <f t="shared" si="7"/>
        <v>370</v>
      </c>
      <c r="J28" s="226">
        <v>32452</v>
      </c>
      <c r="K28" s="162">
        <f>F28/J28</f>
        <v>0.22362258104277086</v>
      </c>
      <c r="L28" s="306">
        <f t="shared" si="5"/>
        <v>-2565</v>
      </c>
      <c r="O28" s="293">
        <v>29887</v>
      </c>
    </row>
    <row r="29" spans="1:22" ht="15.75" thickBot="1" x14ac:dyDescent="0.3">
      <c r="C29" s="148">
        <v>3674</v>
      </c>
      <c r="D29" s="148" t="s">
        <v>182</v>
      </c>
      <c r="E29" s="160">
        <v>1000</v>
      </c>
      <c r="F29" s="159">
        <v>1000</v>
      </c>
      <c r="G29" s="226">
        <v>1000</v>
      </c>
      <c r="H29" s="159"/>
      <c r="I29" s="159">
        <f t="shared" si="7"/>
        <v>0</v>
      </c>
      <c r="J29" s="226">
        <v>1000</v>
      </c>
      <c r="K29" s="162">
        <f t="shared" si="6"/>
        <v>1</v>
      </c>
      <c r="L29" s="306">
        <f t="shared" si="5"/>
        <v>0</v>
      </c>
      <c r="O29" s="290">
        <v>1000</v>
      </c>
    </row>
    <row r="30" spans="1:22" ht="15.75" thickBot="1" x14ac:dyDescent="0.3">
      <c r="A30" s="297"/>
      <c r="B30" s="297"/>
      <c r="C30" s="297">
        <v>3719</v>
      </c>
      <c r="D30" s="297" t="s">
        <v>23</v>
      </c>
      <c r="E30" s="298">
        <v>696150</v>
      </c>
      <c r="F30" s="299">
        <v>541026</v>
      </c>
      <c r="G30" s="300">
        <v>596841</v>
      </c>
      <c r="H30" s="299"/>
      <c r="I30" s="299">
        <f t="shared" si="3"/>
        <v>92479</v>
      </c>
      <c r="J30" s="300">
        <v>689320</v>
      </c>
      <c r="K30" s="162">
        <f t="shared" ref="K30:K46" si="8">F30/J30</f>
        <v>0.78486914640515293</v>
      </c>
      <c r="L30" s="342">
        <f t="shared" si="5"/>
        <v>194449</v>
      </c>
      <c r="M30" s="297"/>
      <c r="N30" s="297"/>
      <c r="O30" s="301">
        <v>883769</v>
      </c>
      <c r="P30" s="292" t="s">
        <v>300</v>
      </c>
      <c r="Q30" s="148" t="s">
        <v>299</v>
      </c>
    </row>
    <row r="31" spans="1:22" x14ac:dyDescent="0.25">
      <c r="A31" s="204"/>
      <c r="B31" s="204"/>
      <c r="C31" s="204">
        <v>3725</v>
      </c>
      <c r="D31" s="204" t="s">
        <v>196</v>
      </c>
      <c r="E31" s="205">
        <v>40000</v>
      </c>
      <c r="F31" s="206">
        <v>63750</v>
      </c>
      <c r="G31" s="227">
        <v>40000</v>
      </c>
      <c r="H31" s="159"/>
      <c r="I31" s="206">
        <f>J31-G31</f>
        <v>45000</v>
      </c>
      <c r="J31" s="227">
        <v>85000</v>
      </c>
      <c r="K31" s="162">
        <f t="shared" si="8"/>
        <v>0.75</v>
      </c>
      <c r="L31" s="322">
        <f t="shared" si="5"/>
        <v>2411</v>
      </c>
      <c r="M31" s="204"/>
      <c r="N31" s="204"/>
      <c r="O31" s="294">
        <v>87411</v>
      </c>
    </row>
    <row r="32" spans="1:22" x14ac:dyDescent="0.25">
      <c r="A32" s="204"/>
      <c r="B32" s="204"/>
      <c r="C32" s="204">
        <v>3578</v>
      </c>
      <c r="D32" s="204" t="s">
        <v>179</v>
      </c>
      <c r="E32" s="205">
        <v>47982.44</v>
      </c>
      <c r="F32" s="236">
        <v>72206</v>
      </c>
      <c r="G32" s="227">
        <v>78697</v>
      </c>
      <c r="H32" s="159"/>
      <c r="I32" s="206">
        <f>J32-G32</f>
        <v>17578</v>
      </c>
      <c r="J32" s="227">
        <v>96275</v>
      </c>
      <c r="K32" s="162">
        <f t="shared" si="8"/>
        <v>0.74999740327187747</v>
      </c>
      <c r="L32" s="322">
        <f t="shared" si="5"/>
        <v>-3766</v>
      </c>
      <c r="M32" s="204"/>
      <c r="N32" s="204"/>
      <c r="O32" s="294">
        <v>92509</v>
      </c>
      <c r="S32" s="324"/>
    </row>
    <row r="33" spans="1:17" x14ac:dyDescent="0.25">
      <c r="A33" s="204"/>
      <c r="B33" s="204"/>
      <c r="C33" s="204">
        <v>3809</v>
      </c>
      <c r="D33" s="204" t="s">
        <v>278</v>
      </c>
      <c r="E33" s="205"/>
      <c r="F33" s="206">
        <v>9799</v>
      </c>
      <c r="G33" s="227"/>
      <c r="H33" s="206"/>
      <c r="I33" s="206"/>
      <c r="J33" s="227">
        <v>13065</v>
      </c>
      <c r="K33" s="162"/>
      <c r="L33" s="322">
        <f t="shared" si="5"/>
        <v>-2217</v>
      </c>
      <c r="M33" s="204"/>
      <c r="N33" s="204"/>
      <c r="O33" s="294">
        <v>10848</v>
      </c>
      <c r="P33" s="330"/>
    </row>
    <row r="34" spans="1:17" x14ac:dyDescent="0.25">
      <c r="C34" s="148">
        <v>3868</v>
      </c>
      <c r="D34" s="148" t="s">
        <v>164</v>
      </c>
      <c r="E34" s="160">
        <f>728.21+2368.48</f>
        <v>3096.69</v>
      </c>
      <c r="F34" s="159">
        <v>4731</v>
      </c>
      <c r="G34" s="226">
        <v>3099</v>
      </c>
      <c r="H34" s="159"/>
      <c r="I34" s="159">
        <f t="shared" si="3"/>
        <v>1632</v>
      </c>
      <c r="J34" s="226">
        <v>4731</v>
      </c>
      <c r="K34" s="173">
        <f t="shared" si="8"/>
        <v>1</v>
      </c>
      <c r="L34" s="306">
        <f t="shared" si="5"/>
        <v>0</v>
      </c>
      <c r="O34" s="293">
        <v>4731</v>
      </c>
    </row>
    <row r="35" spans="1:17" x14ac:dyDescent="0.25">
      <c r="C35" s="148">
        <v>3876</v>
      </c>
      <c r="D35" s="148" t="s">
        <v>24</v>
      </c>
      <c r="E35" s="160">
        <v>102183.67999999999</v>
      </c>
      <c r="F35" s="159">
        <v>185636</v>
      </c>
      <c r="G35" s="226">
        <v>206426</v>
      </c>
      <c r="H35" s="159"/>
      <c r="I35" s="159">
        <f>J35-G35</f>
        <v>41088</v>
      </c>
      <c r="J35" s="226">
        <v>247514</v>
      </c>
      <c r="K35" s="173">
        <f t="shared" si="8"/>
        <v>0.75000202008775263</v>
      </c>
      <c r="L35" s="306">
        <f t="shared" si="5"/>
        <v>7333</v>
      </c>
      <c r="O35" s="293">
        <v>254847</v>
      </c>
      <c r="P35" s="297"/>
      <c r="Q35" s="297"/>
    </row>
    <row r="36" spans="1:17" x14ac:dyDescent="0.25">
      <c r="C36" s="148">
        <v>3870</v>
      </c>
      <c r="D36" s="148" t="s">
        <v>258</v>
      </c>
      <c r="E36" s="160">
        <v>30680</v>
      </c>
      <c r="F36" s="159">
        <v>15124</v>
      </c>
      <c r="G36" s="226">
        <v>23000</v>
      </c>
      <c r="H36" s="159"/>
      <c r="I36" s="159">
        <f>J36-G36</f>
        <v>7000</v>
      </c>
      <c r="J36" s="226">
        <v>30000</v>
      </c>
      <c r="K36" s="173">
        <f t="shared" si="8"/>
        <v>0.50413333333333332</v>
      </c>
      <c r="L36" s="306">
        <f t="shared" si="5"/>
        <v>0</v>
      </c>
      <c r="O36" s="293">
        <v>30000</v>
      </c>
    </row>
    <row r="37" spans="1:17" x14ac:dyDescent="0.25">
      <c r="A37" s="204"/>
      <c r="B37" s="204"/>
      <c r="C37" s="204">
        <v>3220</v>
      </c>
      <c r="D37" s="204" t="s">
        <v>296</v>
      </c>
      <c r="E37" s="205"/>
      <c r="F37" s="206">
        <v>11035</v>
      </c>
      <c r="G37" s="227"/>
      <c r="H37" s="206"/>
      <c r="I37" s="206"/>
      <c r="J37" s="227">
        <v>40000</v>
      </c>
      <c r="K37" s="325">
        <f t="shared" si="8"/>
        <v>0.27587499999999998</v>
      </c>
      <c r="L37" s="322">
        <f t="shared" si="5"/>
        <v>0</v>
      </c>
      <c r="M37" s="204"/>
      <c r="N37" s="204"/>
      <c r="O37" s="294">
        <v>40000</v>
      </c>
    </row>
    <row r="38" spans="1:17" x14ac:dyDescent="0.25">
      <c r="A38" s="204"/>
      <c r="B38" s="204"/>
      <c r="C38" s="204">
        <v>3295</v>
      </c>
      <c r="D38" s="204" t="s">
        <v>297</v>
      </c>
      <c r="E38" s="205"/>
      <c r="F38" s="206">
        <v>2225</v>
      </c>
      <c r="G38" s="227"/>
      <c r="H38" s="206"/>
      <c r="I38" s="206"/>
      <c r="J38" s="227">
        <v>2225</v>
      </c>
      <c r="K38" s="325">
        <f t="shared" si="8"/>
        <v>1</v>
      </c>
      <c r="L38" s="322">
        <f t="shared" si="5"/>
        <v>-2225</v>
      </c>
      <c r="M38" s="204"/>
      <c r="N38" s="204"/>
      <c r="O38" s="294">
        <v>0</v>
      </c>
    </row>
    <row r="39" spans="1:17" x14ac:dyDescent="0.25">
      <c r="A39" s="204"/>
      <c r="B39" s="204"/>
      <c r="C39" s="204">
        <v>3814</v>
      </c>
      <c r="D39" s="204" t="s">
        <v>277</v>
      </c>
      <c r="E39" s="205"/>
      <c r="F39" s="206">
        <v>28353</v>
      </c>
      <c r="G39" s="227"/>
      <c r="H39" s="206"/>
      <c r="I39" s="206"/>
      <c r="J39" s="227">
        <v>50811</v>
      </c>
      <c r="K39" s="325">
        <f t="shared" si="8"/>
        <v>0.55800909251933639</v>
      </c>
      <c r="L39" s="322">
        <f t="shared" si="5"/>
        <v>-811</v>
      </c>
      <c r="M39" s="204"/>
      <c r="N39" s="204"/>
      <c r="O39" s="294">
        <v>50000</v>
      </c>
    </row>
    <row r="40" spans="1:17" x14ac:dyDescent="0.25">
      <c r="C40" s="148">
        <v>3844</v>
      </c>
      <c r="D40" s="148" t="s">
        <v>292</v>
      </c>
      <c r="E40" s="160"/>
      <c r="F40" s="159">
        <v>23417</v>
      </c>
      <c r="G40" s="226"/>
      <c r="H40" s="159"/>
      <c r="I40" s="159"/>
      <c r="J40" s="226">
        <v>35000</v>
      </c>
      <c r="K40" s="173">
        <f t="shared" si="8"/>
        <v>0.66905714285714291</v>
      </c>
      <c r="L40" s="306">
        <f t="shared" si="5"/>
        <v>0</v>
      </c>
      <c r="O40" s="293">
        <v>35000</v>
      </c>
    </row>
    <row r="41" spans="1:17" x14ac:dyDescent="0.25">
      <c r="C41" s="148">
        <v>3914</v>
      </c>
      <c r="D41" s="148" t="s">
        <v>276</v>
      </c>
      <c r="E41" s="160"/>
      <c r="F41" s="159">
        <v>0</v>
      </c>
      <c r="G41" s="226"/>
      <c r="H41" s="159"/>
      <c r="I41" s="159"/>
      <c r="J41" s="226">
        <v>0</v>
      </c>
      <c r="K41" s="173" t="e">
        <f t="shared" si="8"/>
        <v>#DIV/0!</v>
      </c>
      <c r="L41" s="306">
        <f t="shared" si="5"/>
        <v>0</v>
      </c>
      <c r="O41" s="293">
        <v>0</v>
      </c>
    </row>
    <row r="42" spans="1:17" x14ac:dyDescent="0.25">
      <c r="A42" s="297"/>
      <c r="B42" s="297"/>
      <c r="C42" s="297">
        <v>3872</v>
      </c>
      <c r="D42" s="297" t="s">
        <v>235</v>
      </c>
      <c r="E42" s="298">
        <v>4000</v>
      </c>
      <c r="F42" s="299">
        <v>4000</v>
      </c>
      <c r="G42" s="300">
        <v>4000</v>
      </c>
      <c r="H42" s="299"/>
      <c r="I42" s="299">
        <f t="shared" si="3"/>
        <v>0</v>
      </c>
      <c r="J42" s="300">
        <v>4000</v>
      </c>
      <c r="K42" s="334">
        <f>F42/J42</f>
        <v>1</v>
      </c>
      <c r="L42" s="342">
        <f t="shared" si="5"/>
        <v>0</v>
      </c>
      <c r="M42" s="297"/>
      <c r="N42" s="297"/>
      <c r="O42" s="301">
        <v>4000</v>
      </c>
    </row>
    <row r="43" spans="1:17" x14ac:dyDescent="0.25">
      <c r="A43" s="204"/>
      <c r="B43" s="204"/>
      <c r="C43" s="204">
        <v>3652</v>
      </c>
      <c r="D43" s="204" t="s">
        <v>279</v>
      </c>
      <c r="E43" s="205"/>
      <c r="F43" s="206">
        <v>12722</v>
      </c>
      <c r="G43" s="227"/>
      <c r="H43" s="159"/>
      <c r="I43" s="206"/>
      <c r="J43" s="227">
        <v>12722</v>
      </c>
      <c r="K43" s="173"/>
      <c r="L43" s="322">
        <f t="shared" si="5"/>
        <v>-12722</v>
      </c>
      <c r="M43" s="204"/>
      <c r="N43" s="204"/>
      <c r="O43" s="294">
        <v>0</v>
      </c>
    </row>
    <row r="44" spans="1:17" x14ac:dyDescent="0.25">
      <c r="A44" s="204"/>
      <c r="B44" s="204"/>
      <c r="C44" s="204">
        <v>3651</v>
      </c>
      <c r="D44" s="204" t="s">
        <v>238</v>
      </c>
      <c r="E44" s="205">
        <v>36707.53</v>
      </c>
      <c r="F44" s="206">
        <v>41193</v>
      </c>
      <c r="G44" s="227">
        <v>36709</v>
      </c>
      <c r="H44" s="206"/>
      <c r="I44" s="206">
        <f t="shared" si="3"/>
        <v>4484</v>
      </c>
      <c r="J44" s="227">
        <v>41193</v>
      </c>
      <c r="K44" s="173">
        <f t="shared" si="8"/>
        <v>1</v>
      </c>
      <c r="L44" s="322">
        <f t="shared" si="5"/>
        <v>298</v>
      </c>
      <c r="M44" s="204"/>
      <c r="N44" s="204"/>
      <c r="O44" s="294">
        <v>41491</v>
      </c>
    </row>
    <row r="45" spans="1:17" x14ac:dyDescent="0.25">
      <c r="A45" s="204"/>
      <c r="B45" s="204"/>
      <c r="C45" s="204">
        <v>3800</v>
      </c>
      <c r="D45" s="204" t="s">
        <v>280</v>
      </c>
      <c r="E45" s="205"/>
      <c r="F45" s="206">
        <v>14345</v>
      </c>
      <c r="G45" s="227"/>
      <c r="H45" s="206"/>
      <c r="I45" s="206"/>
      <c r="J45" s="227">
        <v>14345</v>
      </c>
      <c r="K45" s="173">
        <f t="shared" si="8"/>
        <v>1</v>
      </c>
      <c r="L45" s="322">
        <f t="shared" si="5"/>
        <v>-10041.5</v>
      </c>
      <c r="M45" s="204"/>
      <c r="N45" s="204"/>
      <c r="O45" s="294">
        <f>0.3*J45</f>
        <v>4303.5</v>
      </c>
    </row>
    <row r="46" spans="1:17" ht="15.75" thickBot="1" x14ac:dyDescent="0.3">
      <c r="A46" s="174"/>
      <c r="B46" s="174"/>
      <c r="C46" s="174"/>
      <c r="D46" s="167" t="s">
        <v>18</v>
      </c>
      <c r="E46" s="168">
        <f>SUM(E17:E45)</f>
        <v>2534219.37</v>
      </c>
      <c r="F46" s="240">
        <f>SUM(F17:F45)</f>
        <v>2445631</v>
      </c>
      <c r="G46" s="168">
        <f>SUM(G17:G45)</f>
        <v>2646622</v>
      </c>
      <c r="H46" s="169"/>
      <c r="I46" s="170">
        <f>SUM(I17:I45)</f>
        <v>421480</v>
      </c>
      <c r="J46" s="170">
        <f>SUM(J17:J45)</f>
        <v>3236270</v>
      </c>
      <c r="K46" s="171">
        <f t="shared" si="8"/>
        <v>0.7556943641908741</v>
      </c>
      <c r="L46" s="295">
        <f>SUM(L17:L45)</f>
        <v>166369.5</v>
      </c>
      <c r="M46" s="296">
        <f>SUM(M17:M45)</f>
        <v>0</v>
      </c>
      <c r="N46" s="296">
        <f>SUM(N17:N45)</f>
        <v>0</v>
      </c>
      <c r="O46" s="296">
        <f>SUM(O17:O45)</f>
        <v>3402639.5</v>
      </c>
    </row>
    <row r="47" spans="1:17" ht="15.75" thickTop="1" x14ac:dyDescent="0.25">
      <c r="B47" s="148">
        <v>4000</v>
      </c>
      <c r="C47" s="148" t="s">
        <v>5</v>
      </c>
      <c r="E47" s="159"/>
      <c r="F47" s="159"/>
      <c r="G47" s="159"/>
      <c r="H47" s="159"/>
      <c r="I47" s="159"/>
      <c r="J47" s="159"/>
      <c r="K47" s="172"/>
    </row>
    <row r="48" spans="1:17" x14ac:dyDescent="0.25">
      <c r="C48" s="148">
        <v>4524</v>
      </c>
      <c r="D48" s="148" t="s">
        <v>26</v>
      </c>
      <c r="E48" s="160">
        <v>0</v>
      </c>
      <c r="F48" s="160"/>
      <c r="G48" s="226">
        <v>37878</v>
      </c>
      <c r="H48" s="159"/>
      <c r="I48" s="159">
        <f t="shared" ref="I48:I52" si="9">J48-G48</f>
        <v>14664</v>
      </c>
      <c r="J48" s="285">
        <v>52542</v>
      </c>
      <c r="K48" s="162">
        <f t="shared" ref="K48:K60" si="10">F48/J48</f>
        <v>0</v>
      </c>
      <c r="L48" s="302">
        <f>O48-J48</f>
        <v>-42</v>
      </c>
      <c r="M48" s="148">
        <v>2229</v>
      </c>
      <c r="N48" s="148">
        <v>15188</v>
      </c>
      <c r="O48" s="290">
        <v>52500</v>
      </c>
    </row>
    <row r="49" spans="1:21" x14ac:dyDescent="0.25">
      <c r="C49" s="148">
        <v>4280</v>
      </c>
      <c r="D49" s="148" t="s">
        <v>206</v>
      </c>
      <c r="E49" s="160">
        <v>260642.22</v>
      </c>
      <c r="F49" s="160">
        <v>146534</v>
      </c>
      <c r="G49" s="227">
        <v>190000</v>
      </c>
      <c r="H49" s="159"/>
      <c r="I49" s="206">
        <f t="shared" si="9"/>
        <v>30000</v>
      </c>
      <c r="J49" s="309">
        <v>220000</v>
      </c>
      <c r="K49" s="162">
        <f t="shared" si="10"/>
        <v>0.66606363636363641</v>
      </c>
      <c r="L49" s="302">
        <f t="shared" ref="L49:L58" si="11">O49-J49</f>
        <v>0</v>
      </c>
      <c r="O49" s="293">
        <v>220000</v>
      </c>
    </row>
    <row r="50" spans="1:21" x14ac:dyDescent="0.25">
      <c r="A50" s="204"/>
      <c r="B50" s="204"/>
      <c r="C50" s="204">
        <v>4801</v>
      </c>
      <c r="D50" s="204" t="s">
        <v>27</v>
      </c>
      <c r="E50" s="205">
        <v>244.49</v>
      </c>
      <c r="F50" s="205">
        <v>65779</v>
      </c>
      <c r="G50" s="227">
        <v>90412</v>
      </c>
      <c r="H50" s="159"/>
      <c r="I50" s="206">
        <f t="shared" si="9"/>
        <v>25547</v>
      </c>
      <c r="J50" s="319">
        <v>115959</v>
      </c>
      <c r="K50" s="162">
        <f t="shared" si="10"/>
        <v>0.56726084219422379</v>
      </c>
      <c r="L50" s="321">
        <f t="shared" si="11"/>
        <v>0</v>
      </c>
      <c r="M50" s="204">
        <v>64607</v>
      </c>
      <c r="N50" s="204">
        <v>108651</v>
      </c>
      <c r="O50" s="294">
        <v>115959</v>
      </c>
    </row>
    <row r="51" spans="1:21" x14ac:dyDescent="0.25">
      <c r="A51" s="204"/>
      <c r="B51" s="204"/>
      <c r="C51" s="204">
        <v>4860</v>
      </c>
      <c r="D51" s="204" t="s">
        <v>28</v>
      </c>
      <c r="E51" s="205">
        <v>0</v>
      </c>
      <c r="F51" s="205"/>
      <c r="G51" s="227">
        <v>20757</v>
      </c>
      <c r="H51" s="159"/>
      <c r="I51" s="206">
        <f t="shared" si="9"/>
        <v>-6293.15</v>
      </c>
      <c r="J51" s="319">
        <v>14463.85</v>
      </c>
      <c r="K51" s="162">
        <f t="shared" si="10"/>
        <v>0</v>
      </c>
      <c r="L51" s="321">
        <f t="shared" si="11"/>
        <v>0.1499999999996362</v>
      </c>
      <c r="M51" s="204"/>
      <c r="N51" s="204"/>
      <c r="O51" s="294">
        <v>14464</v>
      </c>
    </row>
    <row r="52" spans="1:21" x14ac:dyDescent="0.25">
      <c r="A52" s="204"/>
      <c r="B52" s="204"/>
      <c r="C52" s="204">
        <v>4880</v>
      </c>
      <c r="D52" s="204" t="s">
        <v>307</v>
      </c>
      <c r="E52" s="205">
        <v>21619.77</v>
      </c>
      <c r="F52" s="205"/>
      <c r="G52" s="205">
        <v>31369</v>
      </c>
      <c r="H52" s="159"/>
      <c r="I52" s="206">
        <f t="shared" si="9"/>
        <v>-31369</v>
      </c>
      <c r="J52" s="319">
        <v>0</v>
      </c>
      <c r="K52" s="162" t="e">
        <f t="shared" si="10"/>
        <v>#DIV/0!</v>
      </c>
      <c r="L52" s="321">
        <f t="shared" si="11"/>
        <v>0</v>
      </c>
      <c r="M52" s="204"/>
      <c r="N52" s="204"/>
      <c r="O52" s="294">
        <v>0</v>
      </c>
    </row>
    <row r="53" spans="1:21" x14ac:dyDescent="0.25">
      <c r="A53" s="297"/>
      <c r="B53" s="297"/>
      <c r="C53" s="297">
        <v>4880</v>
      </c>
      <c r="D53" s="297" t="s">
        <v>294</v>
      </c>
      <c r="E53" s="298"/>
      <c r="F53" s="298">
        <v>30000</v>
      </c>
      <c r="G53" s="298"/>
      <c r="H53" s="299"/>
      <c r="I53" s="299"/>
      <c r="J53" s="301">
        <v>30000</v>
      </c>
      <c r="K53" s="332">
        <f t="shared" si="10"/>
        <v>1</v>
      </c>
      <c r="L53" s="333">
        <f t="shared" si="11"/>
        <v>0</v>
      </c>
      <c r="M53" s="297"/>
      <c r="N53" s="297"/>
      <c r="O53" s="301">
        <v>30000</v>
      </c>
    </row>
    <row r="54" spans="1:21" x14ac:dyDescent="0.25">
      <c r="C54" s="148">
        <v>4801</v>
      </c>
      <c r="D54" s="148" t="s">
        <v>281</v>
      </c>
      <c r="E54" s="160"/>
      <c r="F54" s="160">
        <v>0</v>
      </c>
      <c r="G54" s="160"/>
      <c r="H54" s="159"/>
      <c r="I54" s="159"/>
      <c r="J54" s="293">
        <v>27525</v>
      </c>
      <c r="K54" s="162">
        <f t="shared" si="10"/>
        <v>0</v>
      </c>
      <c r="L54" s="302">
        <f t="shared" si="11"/>
        <v>0</v>
      </c>
      <c r="O54" s="301">
        <v>27525</v>
      </c>
      <c r="U54" s="148" t="s">
        <v>306</v>
      </c>
    </row>
    <row r="55" spans="1:21" x14ac:dyDescent="0.25">
      <c r="C55" s="148">
        <v>4801</v>
      </c>
      <c r="D55" s="148" t="s">
        <v>282</v>
      </c>
      <c r="E55" s="160"/>
      <c r="F55" s="160">
        <v>58106</v>
      </c>
      <c r="G55" s="160"/>
      <c r="H55" s="159"/>
      <c r="I55" s="159"/>
      <c r="J55" s="293">
        <v>124800</v>
      </c>
      <c r="K55" s="162">
        <f t="shared" si="10"/>
        <v>0.46559294871794871</v>
      </c>
      <c r="L55" s="302">
        <f t="shared" si="11"/>
        <v>0</v>
      </c>
      <c r="O55" s="301">
        <v>124800</v>
      </c>
    </row>
    <row r="56" spans="1:21" x14ac:dyDescent="0.25">
      <c r="A56" s="204"/>
      <c r="B56" s="204"/>
      <c r="C56" s="204">
        <v>4801</v>
      </c>
      <c r="D56" s="204" t="s">
        <v>274</v>
      </c>
      <c r="E56" s="205"/>
      <c r="F56" s="205">
        <v>30056</v>
      </c>
      <c r="G56" s="205"/>
      <c r="H56" s="206"/>
      <c r="I56" s="206"/>
      <c r="J56" s="294">
        <v>30056</v>
      </c>
      <c r="K56" s="331">
        <f t="shared" si="10"/>
        <v>1</v>
      </c>
      <c r="L56" s="321">
        <f t="shared" si="11"/>
        <v>-30056</v>
      </c>
      <c r="M56" s="204"/>
      <c r="N56" s="204"/>
      <c r="O56" s="294">
        <v>0</v>
      </c>
    </row>
    <row r="57" spans="1:21" x14ac:dyDescent="0.25">
      <c r="A57" s="204"/>
      <c r="B57" s="204"/>
      <c r="C57" s="204">
        <v>4900</v>
      </c>
      <c r="D57" s="204" t="s">
        <v>295</v>
      </c>
      <c r="E57" s="205"/>
      <c r="F57" s="205">
        <v>66798</v>
      </c>
      <c r="G57" s="205"/>
      <c r="H57" s="206"/>
      <c r="I57" s="206"/>
      <c r="J57" s="294">
        <v>125000</v>
      </c>
      <c r="K57" s="331"/>
      <c r="L57" s="321">
        <f t="shared" si="11"/>
        <v>-25000</v>
      </c>
      <c r="M57" s="204"/>
      <c r="N57" s="204"/>
      <c r="O57" s="294">
        <v>100000</v>
      </c>
    </row>
    <row r="58" spans="1:21" x14ac:dyDescent="0.25">
      <c r="A58" s="204"/>
      <c r="B58" s="204"/>
      <c r="C58" s="204">
        <v>4900</v>
      </c>
      <c r="D58" s="204" t="s">
        <v>293</v>
      </c>
      <c r="E58" s="205"/>
      <c r="F58" s="251">
        <v>46078</v>
      </c>
      <c r="G58" s="205"/>
      <c r="H58" s="206"/>
      <c r="I58" s="206"/>
      <c r="J58" s="294">
        <v>114808</v>
      </c>
      <c r="K58" s="331"/>
      <c r="L58" s="321">
        <f t="shared" si="11"/>
        <v>192</v>
      </c>
      <c r="M58" s="204"/>
      <c r="N58" s="204"/>
      <c r="O58" s="294">
        <v>115000</v>
      </c>
    </row>
    <row r="59" spans="1:21" ht="15.75" thickBot="1" x14ac:dyDescent="0.3">
      <c r="A59" s="174"/>
      <c r="B59" s="166"/>
      <c r="C59" s="166"/>
      <c r="D59" s="167" t="s">
        <v>25</v>
      </c>
      <c r="E59" s="168">
        <f>SUM(E48:E52)</f>
        <v>282506.48</v>
      </c>
      <c r="F59" s="240">
        <f>SUM(F48:F58)</f>
        <v>443351</v>
      </c>
      <c r="G59" s="168">
        <f>SUM(G48:G56)</f>
        <v>370416</v>
      </c>
      <c r="H59" s="169"/>
      <c r="I59" s="170">
        <f>SUM(I48:I52)</f>
        <v>32548.85</v>
      </c>
      <c r="J59" s="170">
        <f>SUM(J48:J58)</f>
        <v>855153.85</v>
      </c>
      <c r="K59" s="171">
        <f t="shared" si="10"/>
        <v>0.51844589134458086</v>
      </c>
      <c r="L59" s="295">
        <f>SUM(L48:L56)</f>
        <v>-30097.85</v>
      </c>
      <c r="M59" s="295">
        <f>SUM(M48:M56)</f>
        <v>66836</v>
      </c>
      <c r="N59" s="295">
        <f>SUM(N48:N56)</f>
        <v>123839</v>
      </c>
      <c r="O59" s="295">
        <f>SUM(O48:O56)</f>
        <v>585248</v>
      </c>
    </row>
    <row r="60" spans="1:21" ht="16.5" thickTop="1" thickBot="1" x14ac:dyDescent="0.3">
      <c r="A60" s="175"/>
      <c r="B60" s="176"/>
      <c r="C60" s="176"/>
      <c r="D60" s="177" t="s">
        <v>29</v>
      </c>
      <c r="E60" s="178">
        <f>E15+E46+E59</f>
        <v>2855125.33</v>
      </c>
      <c r="F60" s="179">
        <f>F15+F46+F59</f>
        <v>2959994</v>
      </c>
      <c r="G60" s="178">
        <f>G15+G46+G59</f>
        <v>3056438</v>
      </c>
      <c r="H60" s="169"/>
      <c r="I60" s="180">
        <f>I15+I46+I59</f>
        <v>491228.85</v>
      </c>
      <c r="J60" s="180">
        <f>J15+J46+J59</f>
        <v>4180023.85</v>
      </c>
      <c r="K60" s="181">
        <f t="shared" si="10"/>
        <v>0.70812849548693368</v>
      </c>
      <c r="L60" s="303">
        <f>L59+L46+L15</f>
        <v>129171.65</v>
      </c>
      <c r="M60" s="175"/>
      <c r="N60" s="175"/>
      <c r="O60" s="304">
        <f>O59+O46+O15</f>
        <v>4069387.5</v>
      </c>
    </row>
    <row r="61" spans="1:21" x14ac:dyDescent="0.25">
      <c r="D61" s="151"/>
      <c r="E61" s="159"/>
      <c r="F61" s="159"/>
      <c r="G61" s="159"/>
      <c r="H61" s="159"/>
      <c r="I61" s="159"/>
      <c r="J61" s="159"/>
      <c r="K61" s="172"/>
    </row>
    <row r="62" spans="1:21" ht="21" x14ac:dyDescent="0.35">
      <c r="A62" s="271" t="s">
        <v>1</v>
      </c>
      <c r="B62" s="268"/>
      <c r="C62" s="268"/>
      <c r="D62" s="268"/>
      <c r="E62" s="269"/>
      <c r="F62" s="269"/>
      <c r="G62" s="269"/>
      <c r="H62" s="158"/>
      <c r="I62" s="269"/>
      <c r="J62" s="269"/>
      <c r="K62" s="269"/>
      <c r="L62" s="288"/>
      <c r="M62" s="288"/>
      <c r="N62" s="288"/>
      <c r="O62" s="288"/>
    </row>
    <row r="63" spans="1:21" x14ac:dyDescent="0.25">
      <c r="B63" s="148">
        <v>100</v>
      </c>
      <c r="C63" s="148" t="s">
        <v>9</v>
      </c>
      <c r="E63" s="159"/>
      <c r="F63" s="159"/>
      <c r="G63" s="159"/>
      <c r="H63" s="159"/>
      <c r="I63" s="159"/>
      <c r="J63" s="159"/>
      <c r="K63" s="172"/>
    </row>
    <row r="64" spans="1:21" x14ac:dyDescent="0.25">
      <c r="C64" s="151">
        <v>121</v>
      </c>
      <c r="D64" s="148" t="s">
        <v>284</v>
      </c>
      <c r="E64" s="160">
        <f>194343.5-14404</f>
        <v>179939.5</v>
      </c>
      <c r="F64" s="159">
        <v>119464.83</v>
      </c>
      <c r="G64" s="283">
        <f>95812+80000</f>
        <v>175812</v>
      </c>
      <c r="H64" s="159"/>
      <c r="I64" s="161">
        <f t="shared" ref="I64:I74" si="12">J64-G64</f>
        <v>-4640</v>
      </c>
      <c r="J64" s="283">
        <v>171172</v>
      </c>
      <c r="K64" s="162">
        <f>F64/J64</f>
        <v>0.69792273268992588</v>
      </c>
      <c r="L64" s="306">
        <f>O64-J64</f>
        <v>5135.1600000000035</v>
      </c>
      <c r="O64" s="290">
        <f>(J64*0.03)+J64</f>
        <v>176307.16</v>
      </c>
      <c r="Q64" s="286"/>
      <c r="S64" s="286"/>
      <c r="T64" s="286"/>
    </row>
    <row r="65" spans="1:21" x14ac:dyDescent="0.25">
      <c r="C65" s="148">
        <v>131</v>
      </c>
      <c r="D65" s="148" t="s">
        <v>198</v>
      </c>
      <c r="E65" s="160">
        <f>1083767.91-80038</f>
        <v>1003729.9099999999</v>
      </c>
      <c r="F65" s="231">
        <v>906138.78</v>
      </c>
      <c r="G65" s="283">
        <f>1035740+59222</f>
        <v>1094962</v>
      </c>
      <c r="H65" s="159"/>
      <c r="I65" s="161">
        <f t="shared" si="12"/>
        <v>138524</v>
      </c>
      <c r="J65" s="283">
        <v>1233486</v>
      </c>
      <c r="K65" s="162">
        <f t="shared" ref="K65:K75" si="13">F65/J65</f>
        <v>0.73461618534786777</v>
      </c>
      <c r="L65" s="306">
        <f t="shared" ref="L65:L74" si="14">O65-J65</f>
        <v>-123775.41999999993</v>
      </c>
      <c r="M65" s="148" t="s">
        <v>216</v>
      </c>
      <c r="O65" s="290">
        <f>(J65*0.03)+J65-80390-80390</f>
        <v>1109710.58</v>
      </c>
      <c r="P65" s="305"/>
      <c r="Q65" s="286"/>
      <c r="S65" s="286"/>
      <c r="T65" s="286"/>
    </row>
    <row r="66" spans="1:21" x14ac:dyDescent="0.25">
      <c r="C66" s="148">
        <v>131</v>
      </c>
      <c r="D66" s="148" t="s">
        <v>254</v>
      </c>
      <c r="E66" s="160">
        <v>0</v>
      </c>
      <c r="F66" s="231">
        <v>19200</v>
      </c>
      <c r="G66" s="282">
        <v>32000</v>
      </c>
      <c r="H66" s="159"/>
      <c r="I66" s="207">
        <f>J66-G66</f>
        <v>31860</v>
      </c>
      <c r="J66" s="282">
        <v>63860</v>
      </c>
      <c r="K66" s="162">
        <f>F66/J66</f>
        <v>0.30065768869401815</v>
      </c>
      <c r="L66" s="306">
        <f t="shared" si="14"/>
        <v>0</v>
      </c>
      <c r="O66" s="290">
        <v>63860</v>
      </c>
      <c r="Q66" s="286"/>
      <c r="S66" s="286"/>
      <c r="T66" s="286"/>
    </row>
    <row r="67" spans="1:21" x14ac:dyDescent="0.25">
      <c r="A67" s="204"/>
      <c r="B67" s="204"/>
      <c r="C67" s="204">
        <v>132</v>
      </c>
      <c r="D67" s="204" t="s">
        <v>239</v>
      </c>
      <c r="E67" s="205">
        <f>2250.91-662</f>
        <v>1588.9099999999999</v>
      </c>
      <c r="F67" s="232">
        <v>36466.65</v>
      </c>
      <c r="G67" s="282">
        <v>10600</v>
      </c>
      <c r="H67" s="159"/>
      <c r="I67" s="207">
        <f>J67-G67</f>
        <v>34400</v>
      </c>
      <c r="J67" s="317">
        <v>45000</v>
      </c>
      <c r="K67" s="162">
        <f t="shared" si="13"/>
        <v>0.81037000000000003</v>
      </c>
      <c r="L67" s="322">
        <f t="shared" si="14"/>
        <v>0</v>
      </c>
      <c r="M67" s="204"/>
      <c r="N67" s="204"/>
      <c r="O67" s="294">
        <v>45000</v>
      </c>
      <c r="Q67" s="286"/>
      <c r="S67" s="286"/>
      <c r="T67" s="286"/>
    </row>
    <row r="68" spans="1:21" x14ac:dyDescent="0.25">
      <c r="A68" s="204"/>
      <c r="B68" s="204"/>
      <c r="C68" s="204">
        <v>131</v>
      </c>
      <c r="D68" s="204" t="s">
        <v>253</v>
      </c>
      <c r="E68" s="205">
        <f>70591.5-10085</f>
        <v>60506.5</v>
      </c>
      <c r="F68" s="232">
        <v>48609.25</v>
      </c>
      <c r="G68" s="283">
        <v>133286</v>
      </c>
      <c r="H68" s="159"/>
      <c r="I68" s="207">
        <f t="shared" ref="I68:I73" si="15">J68-G68</f>
        <v>-61264</v>
      </c>
      <c r="J68" s="317">
        <v>72022</v>
      </c>
      <c r="K68" s="162">
        <f t="shared" si="13"/>
        <v>0.67492224598039485</v>
      </c>
      <c r="L68" s="322">
        <f t="shared" si="14"/>
        <v>2160.6600000000035</v>
      </c>
      <c r="M68" s="204"/>
      <c r="N68" s="204"/>
      <c r="O68" s="294">
        <f t="shared" ref="O65:O74" si="16">(J68*0.03)+J68</f>
        <v>74182.66</v>
      </c>
      <c r="Q68" s="286"/>
      <c r="S68" s="286"/>
      <c r="T68" s="286"/>
    </row>
    <row r="69" spans="1:21" x14ac:dyDescent="0.25">
      <c r="A69" s="204"/>
      <c r="B69" s="204"/>
      <c r="C69" s="204">
        <v>134</v>
      </c>
      <c r="D69" s="204" t="s">
        <v>257</v>
      </c>
      <c r="E69" s="205">
        <f>29314.28-2557</f>
        <v>26757.279999999999</v>
      </c>
      <c r="F69" s="232">
        <v>154116.87</v>
      </c>
      <c r="G69" s="283">
        <v>32282</v>
      </c>
      <c r="H69" s="159"/>
      <c r="I69" s="207">
        <f t="shared" si="15"/>
        <v>167718</v>
      </c>
      <c r="J69" s="317">
        <v>200000</v>
      </c>
      <c r="K69" s="162">
        <f t="shared" si="13"/>
        <v>0.77058435000000003</v>
      </c>
      <c r="L69" s="322">
        <f t="shared" si="14"/>
        <v>-12722</v>
      </c>
      <c r="M69" s="204"/>
      <c r="N69" s="204"/>
      <c r="O69" s="294">
        <f>200000-12722</f>
        <v>187278</v>
      </c>
      <c r="P69" s="340"/>
      <c r="Q69" s="286"/>
      <c r="S69" s="286"/>
      <c r="T69" s="286"/>
      <c r="U69" s="148" t="s">
        <v>304</v>
      </c>
    </row>
    <row r="70" spans="1:21" x14ac:dyDescent="0.25">
      <c r="C70" s="148">
        <v>141</v>
      </c>
      <c r="D70" s="148" t="s">
        <v>240</v>
      </c>
      <c r="E70" s="160">
        <f>57181.54-4399</f>
        <v>52782.54</v>
      </c>
      <c r="F70" s="231">
        <v>40141.4</v>
      </c>
      <c r="G70" s="283">
        <v>58672</v>
      </c>
      <c r="H70" s="159"/>
      <c r="I70" s="161">
        <f>J70-G70</f>
        <v>1760</v>
      </c>
      <c r="J70" s="283">
        <v>60432</v>
      </c>
      <c r="K70" s="162">
        <f>F70/J70</f>
        <v>0.66424079957638338</v>
      </c>
      <c r="L70" s="306">
        <f t="shared" si="14"/>
        <v>1812.9599999999991</v>
      </c>
      <c r="O70" s="290">
        <f t="shared" si="16"/>
        <v>62244.959999999999</v>
      </c>
      <c r="Q70" s="286"/>
      <c r="S70" s="286"/>
      <c r="T70" s="286"/>
    </row>
    <row r="71" spans="1:21" x14ac:dyDescent="0.25">
      <c r="C71" s="148">
        <v>142</v>
      </c>
      <c r="D71" s="148" t="s">
        <v>241</v>
      </c>
      <c r="E71" s="160">
        <f>65549.25-5042</f>
        <v>60507.25</v>
      </c>
      <c r="F71" s="231">
        <v>48609.39</v>
      </c>
      <c r="G71" s="283">
        <v>66643</v>
      </c>
      <c r="H71" s="159"/>
      <c r="I71" s="161">
        <f>J71-G71</f>
        <v>5379</v>
      </c>
      <c r="J71" s="283">
        <v>72022</v>
      </c>
      <c r="K71" s="162">
        <f>F71/J71</f>
        <v>0.67492418983088498</v>
      </c>
      <c r="L71" s="306">
        <f t="shared" si="14"/>
        <v>2160.6600000000035</v>
      </c>
      <c r="O71" s="290">
        <f t="shared" si="16"/>
        <v>74182.66</v>
      </c>
      <c r="P71" s="305"/>
      <c r="Q71" s="286"/>
      <c r="S71" s="286"/>
      <c r="T71" s="286"/>
    </row>
    <row r="72" spans="1:21" x14ac:dyDescent="0.25">
      <c r="C72" s="148">
        <v>152</v>
      </c>
      <c r="D72" s="148" t="s">
        <v>242</v>
      </c>
      <c r="E72" s="160">
        <f>68004.2-2473</f>
        <v>65531.199999999997</v>
      </c>
      <c r="F72" s="231">
        <v>82047.360000000001</v>
      </c>
      <c r="G72" s="283">
        <v>67918</v>
      </c>
      <c r="H72" s="159"/>
      <c r="I72" s="161">
        <f t="shared" si="15"/>
        <v>57082</v>
      </c>
      <c r="J72" s="283">
        <v>125000</v>
      </c>
      <c r="K72" s="162">
        <f t="shared" si="13"/>
        <v>0.65637888</v>
      </c>
      <c r="L72" s="306">
        <f t="shared" si="14"/>
        <v>3750</v>
      </c>
      <c r="O72" s="290">
        <f t="shared" si="16"/>
        <v>128750</v>
      </c>
      <c r="Q72" s="286"/>
      <c r="S72" s="286"/>
      <c r="T72" s="286"/>
    </row>
    <row r="73" spans="1:21" x14ac:dyDescent="0.25">
      <c r="A73" s="204"/>
      <c r="B73" s="204"/>
      <c r="C73" s="204">
        <v>161</v>
      </c>
      <c r="D73" s="204" t="s">
        <v>219</v>
      </c>
      <c r="E73" s="205">
        <f>174894.43-1107.09-2945</f>
        <v>170842.34</v>
      </c>
      <c r="F73" s="232">
        <v>179359.73</v>
      </c>
      <c r="G73" s="283">
        <v>119232</v>
      </c>
      <c r="H73" s="159"/>
      <c r="I73" s="207">
        <f t="shared" si="15"/>
        <v>105768</v>
      </c>
      <c r="J73" s="317">
        <v>225000</v>
      </c>
      <c r="K73" s="162">
        <f t="shared" si="13"/>
        <v>0.79715435555555558</v>
      </c>
      <c r="L73" s="322">
        <f t="shared" si="14"/>
        <v>6750</v>
      </c>
      <c r="M73" s="204"/>
      <c r="N73" s="204"/>
      <c r="O73" s="294">
        <f>(J73*0.03)+J73</f>
        <v>231750</v>
      </c>
      <c r="P73" s="340"/>
      <c r="Q73" s="286"/>
      <c r="S73" s="286"/>
      <c r="T73" s="286"/>
      <c r="U73" s="148" t="s">
        <v>305</v>
      </c>
    </row>
    <row r="74" spans="1:21" x14ac:dyDescent="0.25">
      <c r="A74" s="204"/>
      <c r="B74" s="204"/>
      <c r="C74" s="204">
        <v>180</v>
      </c>
      <c r="D74" s="204" t="s">
        <v>243</v>
      </c>
      <c r="E74" s="205">
        <f>15793.75-1342</f>
        <v>14451.75</v>
      </c>
      <c r="F74" s="232">
        <v>6806.69</v>
      </c>
      <c r="G74" s="282">
        <v>15000</v>
      </c>
      <c r="H74" s="159"/>
      <c r="I74" s="207">
        <f t="shared" si="12"/>
        <v>3566</v>
      </c>
      <c r="J74" s="317">
        <v>18566</v>
      </c>
      <c r="K74" s="173">
        <f t="shared" si="13"/>
        <v>0.36662124313260797</v>
      </c>
      <c r="L74" s="322">
        <f t="shared" si="14"/>
        <v>556.97999999999956</v>
      </c>
      <c r="M74" s="204"/>
      <c r="N74" s="204"/>
      <c r="O74" s="294">
        <f t="shared" si="16"/>
        <v>19122.98</v>
      </c>
      <c r="Q74" s="286"/>
      <c r="S74" s="286"/>
      <c r="T74" s="286"/>
    </row>
    <row r="75" spans="1:21" ht="15.75" thickBot="1" x14ac:dyDescent="0.3">
      <c r="A75" s="166"/>
      <c r="B75" s="166"/>
      <c r="C75" s="166"/>
      <c r="D75" s="167" t="s">
        <v>30</v>
      </c>
      <c r="E75" s="168">
        <f>SUM(E64:E74)</f>
        <v>1636637.18</v>
      </c>
      <c r="F75" s="168">
        <f>SUM(F64:F74)</f>
        <v>1640960.9499999997</v>
      </c>
      <c r="G75" s="168">
        <f>SUM(G64:G74)</f>
        <v>1806407</v>
      </c>
      <c r="H75" s="169"/>
      <c r="I75" s="170">
        <f>SUM(I64:I74)</f>
        <v>480153</v>
      </c>
      <c r="J75" s="170">
        <f>SUM(J64:J74)</f>
        <v>2286560</v>
      </c>
      <c r="K75" s="171">
        <f t="shared" si="13"/>
        <v>0.71765488331817218</v>
      </c>
      <c r="L75" s="295">
        <f>SUM(L64:L74)</f>
        <v>-114170.99999999993</v>
      </c>
      <c r="M75" s="307">
        <f>SUM(M64:M74)</f>
        <v>0</v>
      </c>
      <c r="N75" s="307">
        <f>SUM(N64:N74)</f>
        <v>0</v>
      </c>
      <c r="O75" s="296">
        <f>SUM(O64:O74)</f>
        <v>2172388.9999999995</v>
      </c>
      <c r="P75" s="335" t="s">
        <v>301</v>
      </c>
    </row>
    <row r="76" spans="1:21" ht="15.75" thickTop="1" x14ac:dyDescent="0.25">
      <c r="B76" s="148">
        <v>200</v>
      </c>
      <c r="C76" s="148" t="s">
        <v>10</v>
      </c>
      <c r="E76" s="159"/>
      <c r="F76" s="159"/>
      <c r="G76" s="159"/>
      <c r="H76" s="159"/>
      <c r="I76" s="159"/>
      <c r="J76" s="159"/>
      <c r="K76" s="172"/>
    </row>
    <row r="77" spans="1:21" x14ac:dyDescent="0.25">
      <c r="C77" s="148">
        <v>220</v>
      </c>
      <c r="D77" s="148" t="s">
        <v>165</v>
      </c>
      <c r="E77" s="160">
        <v>132047.97</v>
      </c>
      <c r="F77" s="159">
        <v>122874.59</v>
      </c>
      <c r="G77" s="282">
        <f>1841000*0.0765</f>
        <v>140836.5</v>
      </c>
      <c r="H77" s="159"/>
      <c r="I77" s="161">
        <f>J77-G77</f>
        <v>54053.5</v>
      </c>
      <c r="J77" s="285">
        <v>194890</v>
      </c>
      <c r="K77" s="162">
        <f t="shared" ref="K77:K82" si="17">F77/J77</f>
        <v>0.63048175894094105</v>
      </c>
      <c r="L77" s="302">
        <f>O77-J77</f>
        <v>-4805.9625000000524</v>
      </c>
      <c r="O77" s="293">
        <f>O75*0.0875</f>
        <v>190084.03749999995</v>
      </c>
      <c r="P77" s="159"/>
    </row>
    <row r="78" spans="1:21" x14ac:dyDescent="0.25">
      <c r="C78" s="148">
        <v>230</v>
      </c>
      <c r="D78" s="148" t="s">
        <v>32</v>
      </c>
      <c r="E78" s="160">
        <v>122020.77</v>
      </c>
      <c r="F78" s="159">
        <v>125756.94</v>
      </c>
      <c r="G78" s="282">
        <v>135000</v>
      </c>
      <c r="H78" s="159"/>
      <c r="I78" s="161">
        <f>J78-G78</f>
        <v>25000</v>
      </c>
      <c r="J78" s="285">
        <v>160000</v>
      </c>
      <c r="K78" s="162">
        <f>F78/J78</f>
        <v>0.78598087500000002</v>
      </c>
      <c r="L78" s="302">
        <f t="shared" ref="L78:L81" si="18">O78-J78</f>
        <v>-5000</v>
      </c>
      <c r="O78" s="293">
        <v>155000</v>
      </c>
      <c r="P78" s="159"/>
    </row>
    <row r="79" spans="1:21" x14ac:dyDescent="0.25">
      <c r="C79" s="148">
        <v>240</v>
      </c>
      <c r="D79" s="148" t="s">
        <v>203</v>
      </c>
      <c r="E79" s="160">
        <v>118468.02</v>
      </c>
      <c r="F79" s="159">
        <v>162687.07</v>
      </c>
      <c r="G79" s="282">
        <v>180084</v>
      </c>
      <c r="H79" s="159"/>
      <c r="I79" s="161">
        <f>J79-G79</f>
        <v>37916</v>
      </c>
      <c r="J79" s="285">
        <v>218000</v>
      </c>
      <c r="K79" s="162">
        <f t="shared" si="17"/>
        <v>0.74627096330275233</v>
      </c>
      <c r="L79" s="302">
        <f t="shared" si="18"/>
        <v>27000</v>
      </c>
      <c r="O79" s="293">
        <v>245000</v>
      </c>
      <c r="P79" s="159"/>
    </row>
    <row r="80" spans="1:21" x14ac:dyDescent="0.25">
      <c r="A80" s="163"/>
      <c r="B80" s="163"/>
      <c r="C80" s="163">
        <v>270</v>
      </c>
      <c r="D80" s="210" t="s">
        <v>33</v>
      </c>
      <c r="E80" s="187">
        <v>3126.5</v>
      </c>
      <c r="F80" s="188">
        <v>3854.6</v>
      </c>
      <c r="G80" s="282">
        <v>4921</v>
      </c>
      <c r="H80" s="159"/>
      <c r="I80" s="207">
        <f>J80-G80</f>
        <v>-21</v>
      </c>
      <c r="J80" s="319">
        <v>4900</v>
      </c>
      <c r="K80" s="162">
        <f t="shared" si="17"/>
        <v>0.78665306122448975</v>
      </c>
      <c r="L80" s="321">
        <f t="shared" si="18"/>
        <v>0</v>
      </c>
      <c r="M80" s="204"/>
      <c r="N80" s="204"/>
      <c r="O80" s="294">
        <v>4900</v>
      </c>
    </row>
    <row r="81" spans="1:16" x14ac:dyDescent="0.25">
      <c r="A81" s="204"/>
      <c r="B81" s="204"/>
      <c r="C81" s="204">
        <v>280</v>
      </c>
      <c r="D81" s="252" t="s">
        <v>34</v>
      </c>
      <c r="E81" s="251">
        <v>900</v>
      </c>
      <c r="F81" s="232">
        <v>0</v>
      </c>
      <c r="G81" s="282">
        <v>1000</v>
      </c>
      <c r="H81" s="159"/>
      <c r="I81" s="207">
        <f>J81-G81</f>
        <v>2000</v>
      </c>
      <c r="J81" s="327">
        <v>3000</v>
      </c>
      <c r="K81" s="162">
        <f t="shared" si="17"/>
        <v>0</v>
      </c>
      <c r="L81" s="321">
        <f t="shared" si="18"/>
        <v>0</v>
      </c>
      <c r="M81" s="204"/>
      <c r="N81" s="204"/>
      <c r="O81" s="294">
        <v>3000</v>
      </c>
    </row>
    <row r="82" spans="1:16" ht="15.75" thickBot="1" x14ac:dyDescent="0.3">
      <c r="A82" s="166"/>
      <c r="B82" s="166"/>
      <c r="C82" s="166"/>
      <c r="D82" s="167" t="s">
        <v>31</v>
      </c>
      <c r="E82" s="168">
        <f>SUM(E77:E81)</f>
        <v>376563.26</v>
      </c>
      <c r="F82" s="241">
        <f>SUM(F77:F81)</f>
        <v>415173.19999999995</v>
      </c>
      <c r="G82" s="168">
        <f>SUM(G77:G81)</f>
        <v>461841.5</v>
      </c>
      <c r="H82" s="169"/>
      <c r="I82" s="170">
        <f>SUM(I77:I81)</f>
        <v>118948.5</v>
      </c>
      <c r="J82" s="170">
        <f>SUM(J77:J81)</f>
        <v>580790</v>
      </c>
      <c r="K82" s="171">
        <f t="shared" si="17"/>
        <v>0.71484219769624124</v>
      </c>
      <c r="L82" s="295">
        <f>SUM(L77:L81)</f>
        <v>17194.037499999948</v>
      </c>
      <c r="M82" s="307">
        <f t="shared" ref="M82:O82" si="19">SUM(M77:M81)</f>
        <v>0</v>
      </c>
      <c r="N82" s="307">
        <f t="shared" si="19"/>
        <v>0</v>
      </c>
      <c r="O82" s="296">
        <f t="shared" si="19"/>
        <v>597984.03749999998</v>
      </c>
    </row>
    <row r="83" spans="1:16" ht="15.75" thickTop="1" x14ac:dyDescent="0.25">
      <c r="B83" s="148">
        <v>300</v>
      </c>
      <c r="C83" s="148" t="s">
        <v>11</v>
      </c>
      <c r="E83" s="159"/>
      <c r="F83" s="159"/>
      <c r="G83" s="159"/>
      <c r="H83" s="159"/>
      <c r="I83" s="159"/>
      <c r="J83" s="159"/>
      <c r="K83" s="172"/>
    </row>
    <row r="84" spans="1:16" x14ac:dyDescent="0.25">
      <c r="C84" s="148">
        <v>320</v>
      </c>
      <c r="D84" s="148" t="s">
        <v>200</v>
      </c>
      <c r="E84" s="160">
        <f>6760.76+6840+1184.47-360+17360.5</f>
        <v>31785.73</v>
      </c>
      <c r="F84" s="159">
        <v>83071.47</v>
      </c>
      <c r="G84" s="282">
        <v>30000</v>
      </c>
      <c r="H84" s="159"/>
      <c r="I84" s="161">
        <f t="shared" ref="I84:I90" si="20">J84-G84</f>
        <v>78400</v>
      </c>
      <c r="J84" s="285">
        <f>115000-6600</f>
        <v>108400</v>
      </c>
      <c r="K84" s="173">
        <f t="shared" ref="K84:K90" si="21">F84/J84</f>
        <v>0.7663419741697417</v>
      </c>
      <c r="L84" s="302">
        <f>O84-J84</f>
        <v>0</v>
      </c>
      <c r="O84" s="293">
        <v>108400</v>
      </c>
      <c r="P84" s="305"/>
    </row>
    <row r="85" spans="1:16" x14ac:dyDescent="0.25">
      <c r="C85" s="148">
        <v>330</v>
      </c>
      <c r="D85" s="148" t="s">
        <v>199</v>
      </c>
      <c r="E85" s="160">
        <v>6700</v>
      </c>
      <c r="F85" s="159">
        <v>2275.81</v>
      </c>
      <c r="G85" s="283">
        <v>8000</v>
      </c>
      <c r="H85" s="159"/>
      <c r="I85" s="161">
        <f t="shared" si="20"/>
        <v>2000</v>
      </c>
      <c r="J85" s="309">
        <v>10000</v>
      </c>
      <c r="K85" s="173">
        <f t="shared" si="21"/>
        <v>0.22758100000000001</v>
      </c>
      <c r="L85" s="302">
        <f t="shared" ref="L85:L90" si="22">O85-J85</f>
        <v>0</v>
      </c>
      <c r="M85" s="148" t="s">
        <v>212</v>
      </c>
      <c r="O85" s="293">
        <v>10000</v>
      </c>
    </row>
    <row r="86" spans="1:16" x14ac:dyDescent="0.25">
      <c r="A86" s="204"/>
      <c r="B86" s="204"/>
      <c r="C86" s="204">
        <v>310</v>
      </c>
      <c r="D86" s="204" t="s">
        <v>244</v>
      </c>
      <c r="E86" s="205">
        <v>1060</v>
      </c>
      <c r="F86" s="206">
        <v>0</v>
      </c>
      <c r="G86" s="283">
        <v>1500</v>
      </c>
      <c r="H86" s="159"/>
      <c r="I86" s="207">
        <f t="shared" si="20"/>
        <v>0</v>
      </c>
      <c r="J86" s="319">
        <v>1500</v>
      </c>
      <c r="K86" s="173">
        <f t="shared" si="21"/>
        <v>0</v>
      </c>
      <c r="L86" s="321">
        <f t="shared" si="22"/>
        <v>0</v>
      </c>
      <c r="M86" s="204" t="s">
        <v>217</v>
      </c>
      <c r="N86" s="204"/>
      <c r="O86" s="294">
        <v>1500</v>
      </c>
    </row>
    <row r="87" spans="1:16" x14ac:dyDescent="0.25">
      <c r="A87" s="204"/>
      <c r="B87" s="204"/>
      <c r="C87" s="204">
        <v>320</v>
      </c>
      <c r="D87" s="204" t="s">
        <v>245</v>
      </c>
      <c r="E87" s="205">
        <v>935.16</v>
      </c>
      <c r="F87" s="206">
        <v>1430.49</v>
      </c>
      <c r="G87" s="283">
        <v>3000</v>
      </c>
      <c r="H87" s="159"/>
      <c r="I87" s="207">
        <f t="shared" si="20"/>
        <v>1000</v>
      </c>
      <c r="J87" s="319">
        <v>4000</v>
      </c>
      <c r="K87" s="173">
        <f t="shared" si="21"/>
        <v>0.35762250000000001</v>
      </c>
      <c r="L87" s="321">
        <f t="shared" si="22"/>
        <v>0</v>
      </c>
      <c r="M87" s="204"/>
      <c r="N87" s="204"/>
      <c r="O87" s="294">
        <v>4000</v>
      </c>
    </row>
    <row r="88" spans="1:16" x14ac:dyDescent="0.25">
      <c r="A88" s="204"/>
      <c r="B88" s="204"/>
      <c r="C88" s="204">
        <v>350</v>
      </c>
      <c r="D88" s="204" t="s">
        <v>246</v>
      </c>
      <c r="E88" s="205">
        <v>25197.78</v>
      </c>
      <c r="F88" s="206">
        <v>28684.2</v>
      </c>
      <c r="G88" s="283">
        <v>20000</v>
      </c>
      <c r="H88" s="159"/>
      <c r="I88" s="207">
        <f t="shared" si="20"/>
        <v>25000</v>
      </c>
      <c r="J88" s="319">
        <v>45000</v>
      </c>
      <c r="K88" s="162">
        <f t="shared" si="21"/>
        <v>0.6374266666666667</v>
      </c>
      <c r="L88" s="321">
        <f t="shared" si="22"/>
        <v>0</v>
      </c>
      <c r="M88" s="204"/>
      <c r="N88" s="204"/>
      <c r="O88" s="294">
        <v>45000</v>
      </c>
    </row>
    <row r="89" spans="1:16" x14ac:dyDescent="0.25">
      <c r="C89" s="148">
        <v>345</v>
      </c>
      <c r="D89" s="148" t="s">
        <v>213</v>
      </c>
      <c r="E89" s="160">
        <v>21143.41</v>
      </c>
      <c r="F89" s="159">
        <v>21300</v>
      </c>
      <c r="G89" s="283">
        <v>22000</v>
      </c>
      <c r="H89" s="159"/>
      <c r="I89" s="161">
        <f t="shared" si="20"/>
        <v>500</v>
      </c>
      <c r="J89" s="309">
        <v>22500</v>
      </c>
      <c r="K89" s="162">
        <f t="shared" si="21"/>
        <v>0.94666666666666666</v>
      </c>
      <c r="L89" s="302">
        <f t="shared" si="22"/>
        <v>-2500</v>
      </c>
      <c r="O89" s="293">
        <v>20000</v>
      </c>
    </row>
    <row r="90" spans="1:16" x14ac:dyDescent="0.25">
      <c r="C90" s="148">
        <v>345</v>
      </c>
      <c r="D90" s="148" t="s">
        <v>166</v>
      </c>
      <c r="E90" s="160">
        <v>58800</v>
      </c>
      <c r="F90" s="159">
        <v>46800</v>
      </c>
      <c r="G90" s="282">
        <v>59976</v>
      </c>
      <c r="H90" s="159"/>
      <c r="I90" s="161">
        <f t="shared" si="20"/>
        <v>2424</v>
      </c>
      <c r="J90" s="328">
        <v>62400</v>
      </c>
      <c r="K90" s="162">
        <f t="shared" si="21"/>
        <v>0.75</v>
      </c>
      <c r="L90" s="302">
        <f t="shared" si="22"/>
        <v>1260</v>
      </c>
      <c r="O90" s="293">
        <v>63660</v>
      </c>
    </row>
    <row r="91" spans="1:16" ht="17.25" customHeight="1" thickBot="1" x14ac:dyDescent="0.3">
      <c r="A91" s="166"/>
      <c r="B91" s="166"/>
      <c r="C91" s="166"/>
      <c r="D91" s="167" t="s">
        <v>35</v>
      </c>
      <c r="E91" s="168">
        <f>SUM(E84:E90)</f>
        <v>145622.08000000002</v>
      </c>
      <c r="F91" s="240">
        <f>SUM(F84:F90)</f>
        <v>183561.97</v>
      </c>
      <c r="G91" s="168">
        <f>SUM(G84:G90)</f>
        <v>144476</v>
      </c>
      <c r="H91" s="169"/>
      <c r="I91" s="170">
        <f>SUM(I84:I90)</f>
        <v>109324</v>
      </c>
      <c r="J91" s="170">
        <f>SUM(J84:J90)</f>
        <v>253800</v>
      </c>
      <c r="K91" s="171">
        <f>F91/J91</f>
        <v>0.72325441292356185</v>
      </c>
      <c r="L91" s="295">
        <f>SUM(L84:L90)</f>
        <v>-1240</v>
      </c>
      <c r="M91" s="307">
        <f t="shared" ref="M91:O91" si="23">SUM(M84:M90)</f>
        <v>0</v>
      </c>
      <c r="N91" s="307">
        <f t="shared" si="23"/>
        <v>0</v>
      </c>
      <c r="O91" s="296">
        <f t="shared" si="23"/>
        <v>252560</v>
      </c>
    </row>
    <row r="92" spans="1:16" ht="15.75" thickTop="1" x14ac:dyDescent="0.25">
      <c r="B92" s="148">
        <v>400</v>
      </c>
      <c r="C92" s="148" t="s">
        <v>12</v>
      </c>
      <c r="E92" s="159"/>
      <c r="F92" s="159"/>
      <c r="G92" s="159"/>
      <c r="H92" s="159"/>
      <c r="I92" s="159"/>
      <c r="J92" s="159"/>
      <c r="K92" s="172"/>
      <c r="L92" s="152"/>
      <c r="M92" s="152"/>
    </row>
    <row r="93" spans="1:16" x14ac:dyDescent="0.25">
      <c r="C93" s="148">
        <v>410</v>
      </c>
      <c r="D93" s="148" t="s">
        <v>221</v>
      </c>
      <c r="E93" s="160">
        <v>37650.559999999998</v>
      </c>
      <c r="F93" s="159">
        <v>29240.43</v>
      </c>
      <c r="G93" s="282">
        <v>37500</v>
      </c>
      <c r="H93" s="159"/>
      <c r="I93" s="161">
        <f t="shared" ref="I93:I97" si="24">J93-G93</f>
        <v>52500</v>
      </c>
      <c r="J93" s="282">
        <v>90000</v>
      </c>
      <c r="K93" s="173">
        <f t="shared" ref="K93:K98" si="25">F93/J93</f>
        <v>0.32489366666666669</v>
      </c>
      <c r="L93" s="308">
        <f>O93-J93</f>
        <v>0</v>
      </c>
      <c r="M93" s="211"/>
      <c r="O93" s="293">
        <v>90000</v>
      </c>
      <c r="P93" s="305"/>
    </row>
    <row r="94" spans="1:16" x14ac:dyDescent="0.25">
      <c r="C94" s="148">
        <v>430</v>
      </c>
      <c r="D94" s="148" t="s">
        <v>283</v>
      </c>
      <c r="E94" s="160">
        <v>6012.8</v>
      </c>
      <c r="F94" s="159">
        <v>7713.33</v>
      </c>
      <c r="G94" s="282">
        <v>2250</v>
      </c>
      <c r="H94" s="159"/>
      <c r="I94" s="161">
        <f t="shared" si="24"/>
        <v>17750</v>
      </c>
      <c r="J94" s="282">
        <v>20000</v>
      </c>
      <c r="K94" s="173">
        <f t="shared" si="25"/>
        <v>0.38566650000000002</v>
      </c>
      <c r="L94" s="308">
        <f t="shared" ref="L94:L97" si="26">O94-J94</f>
        <v>0</v>
      </c>
      <c r="N94" s="148" t="s">
        <v>214</v>
      </c>
      <c r="O94" s="285">
        <v>20000</v>
      </c>
    </row>
    <row r="95" spans="1:16" x14ac:dyDescent="0.25">
      <c r="C95" s="148">
        <v>423</v>
      </c>
      <c r="D95" s="148" t="s">
        <v>269</v>
      </c>
      <c r="E95" s="160">
        <v>56411.59</v>
      </c>
      <c r="F95" s="159">
        <v>67867.8</v>
      </c>
      <c r="G95" s="282">
        <v>75000</v>
      </c>
      <c r="H95" s="159"/>
      <c r="I95" s="161">
        <f t="shared" si="24"/>
        <v>15000</v>
      </c>
      <c r="J95" s="282">
        <v>90000</v>
      </c>
      <c r="K95" s="173">
        <f>F95/J95</f>
        <v>0.75408666666666668</v>
      </c>
      <c r="L95" s="308">
        <f t="shared" si="26"/>
        <v>0</v>
      </c>
      <c r="N95" s="148" t="s">
        <v>218</v>
      </c>
      <c r="O95" s="285">
        <v>90000</v>
      </c>
    </row>
    <row r="96" spans="1:16" x14ac:dyDescent="0.25">
      <c r="A96" s="204"/>
      <c r="B96" s="204"/>
      <c r="C96" s="204">
        <v>441</v>
      </c>
      <c r="D96" s="204" t="s">
        <v>247</v>
      </c>
      <c r="E96" s="205">
        <v>209141.01</v>
      </c>
      <c r="F96" s="206">
        <v>170429.93</v>
      </c>
      <c r="G96" s="282">
        <v>209638.92</v>
      </c>
      <c r="H96" s="159"/>
      <c r="I96" s="207">
        <f t="shared" si="24"/>
        <v>18337.079999999987</v>
      </c>
      <c r="J96" s="317">
        <v>227976</v>
      </c>
      <c r="K96" s="173">
        <f>F96/J96</f>
        <v>0.74757838544408184</v>
      </c>
      <c r="L96" s="320">
        <f t="shared" si="26"/>
        <v>6640.8800000000047</v>
      </c>
      <c r="M96" s="204"/>
      <c r="N96" s="204"/>
      <c r="O96" s="319">
        <v>234616.88</v>
      </c>
      <c r="P96" s="305"/>
    </row>
    <row r="97" spans="1:16" x14ac:dyDescent="0.25">
      <c r="A97" s="163"/>
      <c r="B97" s="163"/>
      <c r="C97" s="163">
        <v>443</v>
      </c>
      <c r="D97" s="163" t="s">
        <v>267</v>
      </c>
      <c r="E97" s="187">
        <v>4286.07</v>
      </c>
      <c r="F97" s="165">
        <v>0</v>
      </c>
      <c r="G97" s="282">
        <v>4500</v>
      </c>
      <c r="H97" s="159"/>
      <c r="I97" s="207">
        <f t="shared" si="24"/>
        <v>-4500</v>
      </c>
      <c r="J97" s="317">
        <v>0</v>
      </c>
      <c r="K97" s="173" t="e">
        <f t="shared" si="25"/>
        <v>#DIV/0!</v>
      </c>
      <c r="L97" s="320">
        <f t="shared" si="26"/>
        <v>0</v>
      </c>
      <c r="M97" s="204"/>
      <c r="N97" s="204"/>
      <c r="O97" s="319">
        <v>0</v>
      </c>
    </row>
    <row r="98" spans="1:16" ht="15.75" thickBot="1" x14ac:dyDescent="0.3">
      <c r="A98" s="166"/>
      <c r="B98" s="166"/>
      <c r="C98" s="166"/>
      <c r="D98" s="167" t="s">
        <v>36</v>
      </c>
      <c r="E98" s="168">
        <f>SUM(E93:E97)</f>
        <v>313502.03000000003</v>
      </c>
      <c r="F98" s="240">
        <f>SUM(F93:F97)</f>
        <v>275251.49</v>
      </c>
      <c r="G98" s="168">
        <f>SUM(G93:G97)</f>
        <v>328888.92000000004</v>
      </c>
      <c r="H98" s="169"/>
      <c r="I98" s="170">
        <f>SUM(I93:I97)</f>
        <v>99087.079999999987</v>
      </c>
      <c r="J98" s="170">
        <f>SUM(J93:J97)</f>
        <v>427976</v>
      </c>
      <c r="K98" s="171">
        <f t="shared" si="25"/>
        <v>0.64314702226293063</v>
      </c>
      <c r="L98" s="295">
        <f>SUM(L93:L97)</f>
        <v>6640.8800000000047</v>
      </c>
      <c r="M98" s="295">
        <f t="shared" ref="M98:O98" si="27">SUM(M93:M97)</f>
        <v>0</v>
      </c>
      <c r="N98" s="295">
        <f t="shared" si="27"/>
        <v>0</v>
      </c>
      <c r="O98" s="295">
        <f t="shared" si="27"/>
        <v>434616.88</v>
      </c>
    </row>
    <row r="99" spans="1:16" ht="15.75" thickTop="1" x14ac:dyDescent="0.25">
      <c r="B99" s="148">
        <v>500</v>
      </c>
      <c r="C99" s="148" t="s">
        <v>13</v>
      </c>
      <c r="E99" s="159"/>
      <c r="F99" s="159"/>
      <c r="G99" s="159"/>
      <c r="H99" s="159"/>
      <c r="I99" s="159"/>
      <c r="J99" s="159"/>
      <c r="K99" s="172"/>
    </row>
    <row r="100" spans="1:16" x14ac:dyDescent="0.25">
      <c r="C100" s="148">
        <v>513</v>
      </c>
      <c r="D100" s="148" t="s">
        <v>249</v>
      </c>
      <c r="E100" s="160">
        <v>35420</v>
      </c>
      <c r="F100" s="159">
        <v>22275</v>
      </c>
      <c r="G100" s="282">
        <v>39500</v>
      </c>
      <c r="H100" s="159"/>
      <c r="I100" s="161">
        <f t="shared" ref="I100:I105" si="28">J100-G100</f>
        <v>-7000</v>
      </c>
      <c r="J100" s="285">
        <v>32500</v>
      </c>
      <c r="K100" s="173">
        <f t="shared" ref="K100:K107" si="29">F100/J100</f>
        <v>0.68538461538461537</v>
      </c>
      <c r="L100" s="305">
        <f>O100-J100</f>
        <v>-5000</v>
      </c>
      <c r="O100" s="285">
        <v>27500</v>
      </c>
    </row>
    <row r="101" spans="1:16" x14ac:dyDescent="0.25">
      <c r="C101" s="148">
        <v>518</v>
      </c>
      <c r="D101" s="148" t="s">
        <v>248</v>
      </c>
      <c r="E101" s="160">
        <v>700</v>
      </c>
      <c r="F101" s="159">
        <v>2556.1799999999998</v>
      </c>
      <c r="G101" s="282">
        <v>1500</v>
      </c>
      <c r="H101" s="159"/>
      <c r="I101" s="161">
        <f t="shared" si="28"/>
        <v>3500</v>
      </c>
      <c r="J101" s="285">
        <v>5000</v>
      </c>
      <c r="K101" s="173">
        <f t="shared" si="29"/>
        <v>0.51123599999999991</v>
      </c>
      <c r="L101" s="305">
        <f t="shared" ref="L101:L106" si="30">O101-J101</f>
        <v>0</v>
      </c>
      <c r="O101" s="285">
        <v>5000</v>
      </c>
    </row>
    <row r="102" spans="1:16" x14ac:dyDescent="0.25">
      <c r="C102" s="148">
        <v>521</v>
      </c>
      <c r="D102" s="148" t="s">
        <v>222</v>
      </c>
      <c r="E102" s="160">
        <v>9005.16</v>
      </c>
      <c r="F102" s="159">
        <v>4160</v>
      </c>
      <c r="G102" s="282">
        <v>7000</v>
      </c>
      <c r="H102" s="159"/>
      <c r="I102" s="161">
        <f t="shared" si="28"/>
        <v>700</v>
      </c>
      <c r="J102" s="285">
        <v>7700</v>
      </c>
      <c r="K102" s="173">
        <f t="shared" si="29"/>
        <v>0.54025974025974022</v>
      </c>
      <c r="L102" s="305">
        <f t="shared" si="30"/>
        <v>1300</v>
      </c>
      <c r="O102" s="285">
        <v>9000</v>
      </c>
    </row>
    <row r="103" spans="1:16" x14ac:dyDescent="0.25">
      <c r="A103" s="204"/>
      <c r="B103" s="204"/>
      <c r="C103" s="204">
        <v>530</v>
      </c>
      <c r="D103" s="204" t="s">
        <v>256</v>
      </c>
      <c r="E103" s="205">
        <f>840.89+242.71+7.69</f>
        <v>1091.29</v>
      </c>
      <c r="F103" s="206">
        <v>3107.54</v>
      </c>
      <c r="G103" s="282">
        <v>900</v>
      </c>
      <c r="H103" s="159"/>
      <c r="I103" s="207">
        <f t="shared" si="28"/>
        <v>2600</v>
      </c>
      <c r="J103" s="319">
        <v>3500</v>
      </c>
      <c r="K103" s="162">
        <f t="shared" si="29"/>
        <v>0.88786857142857145</v>
      </c>
      <c r="L103" s="318">
        <f t="shared" si="30"/>
        <v>500</v>
      </c>
      <c r="M103" s="204"/>
      <c r="N103" s="204"/>
      <c r="O103" s="319">
        <v>4000</v>
      </c>
    </row>
    <row r="104" spans="1:16" x14ac:dyDescent="0.25">
      <c r="A104" s="204"/>
      <c r="B104" s="204"/>
      <c r="C104" s="204">
        <v>540</v>
      </c>
      <c r="D104" s="204" t="s">
        <v>207</v>
      </c>
      <c r="E104" s="205">
        <v>225</v>
      </c>
      <c r="F104" s="206">
        <v>3157.14</v>
      </c>
      <c r="G104" s="282">
        <v>400</v>
      </c>
      <c r="H104" s="159"/>
      <c r="I104" s="207">
        <f t="shared" si="28"/>
        <v>9600</v>
      </c>
      <c r="J104" s="319">
        <v>10000</v>
      </c>
      <c r="K104" s="162">
        <f t="shared" si="29"/>
        <v>0.31571399999999999</v>
      </c>
      <c r="L104" s="318">
        <f t="shared" si="30"/>
        <v>-5000</v>
      </c>
      <c r="M104" s="204"/>
      <c r="N104" s="204"/>
      <c r="O104" s="319">
        <v>5000</v>
      </c>
    </row>
    <row r="105" spans="1:16" x14ac:dyDescent="0.25">
      <c r="A105" s="204"/>
      <c r="B105" s="204"/>
      <c r="C105" s="204">
        <v>580</v>
      </c>
      <c r="D105" s="204" t="s">
        <v>201</v>
      </c>
      <c r="E105" s="205">
        <v>0</v>
      </c>
      <c r="F105" s="205">
        <v>0</v>
      </c>
      <c r="G105" s="282">
        <v>0</v>
      </c>
      <c r="H105" s="159"/>
      <c r="I105" s="206">
        <f t="shared" si="28"/>
        <v>0</v>
      </c>
      <c r="J105" s="294">
        <v>0</v>
      </c>
      <c r="K105" s="336" t="e">
        <f t="shared" si="29"/>
        <v>#DIV/0!</v>
      </c>
      <c r="L105" s="318">
        <f t="shared" si="30"/>
        <v>0</v>
      </c>
      <c r="M105" s="204"/>
      <c r="N105" s="204"/>
      <c r="O105" s="319">
        <v>0</v>
      </c>
    </row>
    <row r="106" spans="1:16" x14ac:dyDescent="0.25">
      <c r="C106" s="148">
        <v>590</v>
      </c>
      <c r="D106" s="148" t="s">
        <v>285</v>
      </c>
      <c r="E106" s="160"/>
      <c r="F106" s="284">
        <v>0</v>
      </c>
      <c r="G106" s="283"/>
      <c r="H106" s="159"/>
      <c r="I106" s="161"/>
      <c r="J106" s="293">
        <v>6600</v>
      </c>
      <c r="K106" s="162">
        <f t="shared" si="29"/>
        <v>0</v>
      </c>
      <c r="L106" s="341">
        <f t="shared" si="30"/>
        <v>0</v>
      </c>
      <c r="O106" s="293">
        <v>6600</v>
      </c>
    </row>
    <row r="107" spans="1:16" ht="15.75" thickBot="1" x14ac:dyDescent="0.3">
      <c r="A107" s="166"/>
      <c r="B107" s="166"/>
      <c r="C107" s="166"/>
      <c r="D107" s="167" t="s">
        <v>37</v>
      </c>
      <c r="E107" s="168">
        <f>SUM(E100:E105)</f>
        <v>46441.450000000004</v>
      </c>
      <c r="F107" s="240">
        <f>SUM(F100:F106)</f>
        <v>35255.86</v>
      </c>
      <c r="G107" s="168">
        <f>SUM(G100:G105)</f>
        <v>49300</v>
      </c>
      <c r="H107" s="169"/>
      <c r="I107" s="170">
        <f>SUM(I100:I105)</f>
        <v>9400</v>
      </c>
      <c r="J107" s="170">
        <f>SUM(J100:J106)</f>
        <v>65300</v>
      </c>
      <c r="K107" s="171">
        <f t="shared" si="29"/>
        <v>0.53990597243491578</v>
      </c>
      <c r="L107" s="295">
        <f>SUM(L100:L106)</f>
        <v>-8200</v>
      </c>
      <c r="M107" s="174"/>
      <c r="N107" s="174"/>
      <c r="O107" s="296">
        <f>SUM(O100:O106)</f>
        <v>57100</v>
      </c>
    </row>
    <row r="108" spans="1:16" ht="15.75" thickTop="1" x14ac:dyDescent="0.25">
      <c r="B108" s="148">
        <v>600</v>
      </c>
      <c r="C108" s="148" t="s">
        <v>14</v>
      </c>
      <c r="E108" s="159"/>
      <c r="F108" s="159"/>
      <c r="G108" s="159"/>
      <c r="H108" s="159"/>
      <c r="I108" s="159"/>
      <c r="J108" s="159"/>
      <c r="K108" s="172"/>
    </row>
    <row r="109" spans="1:16" x14ac:dyDescent="0.25">
      <c r="C109" s="148">
        <v>610</v>
      </c>
      <c r="D109" s="148" t="s">
        <v>268</v>
      </c>
      <c r="E109" s="160">
        <f>22114.19+4024.14+1347.04-700+700</f>
        <v>27485.37</v>
      </c>
      <c r="F109" s="159">
        <v>28078.54</v>
      </c>
      <c r="G109" s="282">
        <v>45000</v>
      </c>
      <c r="H109" s="159"/>
      <c r="I109" s="161">
        <f t="shared" ref="I109:I111" si="31">J109-G109</f>
        <v>-5000</v>
      </c>
      <c r="J109" s="285">
        <v>40000</v>
      </c>
      <c r="K109" s="173">
        <f t="shared" ref="K109:K111" si="32">F109/J109</f>
        <v>0.70196350000000007</v>
      </c>
      <c r="L109" s="305">
        <f>SUM(O109-J109)</f>
        <v>0</v>
      </c>
      <c r="O109" s="285">
        <v>40000</v>
      </c>
      <c r="P109" s="305"/>
    </row>
    <row r="110" spans="1:16" x14ac:dyDescent="0.25">
      <c r="C110" s="148">
        <v>610</v>
      </c>
      <c r="D110" s="148" t="s">
        <v>275</v>
      </c>
      <c r="E110" s="160"/>
      <c r="F110" s="159">
        <v>1021.12</v>
      </c>
      <c r="G110" s="282"/>
      <c r="H110" s="159"/>
      <c r="I110" s="161"/>
      <c r="J110" s="285">
        <v>2000</v>
      </c>
      <c r="K110" s="173"/>
      <c r="L110" s="305">
        <f>SUM(O110-J110)</f>
        <v>0</v>
      </c>
      <c r="O110" s="285">
        <v>2000</v>
      </c>
    </row>
    <row r="111" spans="1:16" x14ac:dyDescent="0.25">
      <c r="C111" s="148">
        <v>612</v>
      </c>
      <c r="D111" s="148" t="s">
        <v>251</v>
      </c>
      <c r="E111" s="160">
        <v>13571.67</v>
      </c>
      <c r="F111" s="159">
        <v>5372.64</v>
      </c>
      <c r="G111" s="282">
        <v>10000</v>
      </c>
      <c r="H111" s="159"/>
      <c r="I111" s="161">
        <f t="shared" si="31"/>
        <v>3500</v>
      </c>
      <c r="J111" s="285">
        <v>13500</v>
      </c>
      <c r="K111" s="173">
        <f t="shared" si="32"/>
        <v>0.39797333333333335</v>
      </c>
      <c r="L111" s="305">
        <f t="shared" ref="L111:L117" si="33">SUM(O111-J111)</f>
        <v>0</v>
      </c>
      <c r="O111" s="285">
        <v>13500</v>
      </c>
    </row>
    <row r="112" spans="1:16" x14ac:dyDescent="0.25">
      <c r="A112" s="204"/>
      <c r="B112" s="204"/>
      <c r="C112" s="204">
        <v>612</v>
      </c>
      <c r="D112" s="204" t="s">
        <v>272</v>
      </c>
      <c r="E112" s="205">
        <v>0</v>
      </c>
      <c r="F112" s="206">
        <v>1523.76</v>
      </c>
      <c r="G112" s="317">
        <v>0</v>
      </c>
      <c r="H112" s="206"/>
      <c r="I112" s="207">
        <f>J112-G112</f>
        <v>5000</v>
      </c>
      <c r="J112" s="319">
        <v>5000</v>
      </c>
      <c r="K112" s="331">
        <f>F112/J112</f>
        <v>0.30475200000000002</v>
      </c>
      <c r="L112" s="318">
        <f t="shared" si="33"/>
        <v>0</v>
      </c>
      <c r="M112" s="204"/>
      <c r="N112" s="204"/>
      <c r="O112" s="319">
        <v>5000</v>
      </c>
    </row>
    <row r="113" spans="1:15" x14ac:dyDescent="0.25">
      <c r="A113" s="204"/>
      <c r="B113" s="204"/>
      <c r="C113" s="204">
        <v>630</v>
      </c>
      <c r="D113" s="204" t="s">
        <v>208</v>
      </c>
      <c r="E113" s="205">
        <v>245057.91</v>
      </c>
      <c r="F113" s="206">
        <v>186032.56</v>
      </c>
      <c r="G113" s="283">
        <v>240000</v>
      </c>
      <c r="H113" s="159"/>
      <c r="I113" s="207">
        <f>J113-G113</f>
        <v>10000</v>
      </c>
      <c r="J113" s="319">
        <v>250000</v>
      </c>
      <c r="K113" s="162">
        <f>F113/J113</f>
        <v>0.74413023999999994</v>
      </c>
      <c r="L113" s="318">
        <f t="shared" si="33"/>
        <v>0</v>
      </c>
      <c r="M113" s="204"/>
      <c r="N113" s="204"/>
      <c r="O113" s="319">
        <v>250000</v>
      </c>
    </row>
    <row r="114" spans="1:15" x14ac:dyDescent="0.25">
      <c r="A114" s="204"/>
      <c r="B114" s="204"/>
      <c r="C114" s="204">
        <v>641</v>
      </c>
      <c r="D114" s="204" t="s">
        <v>250</v>
      </c>
      <c r="E114" s="205">
        <f>683.58+998.77</f>
        <v>1682.35</v>
      </c>
      <c r="F114" s="206">
        <v>0</v>
      </c>
      <c r="G114" s="282">
        <v>1500</v>
      </c>
      <c r="H114" s="159"/>
      <c r="I114" s="207">
        <f t="shared" ref="I114:I116" si="34">J114-G114</f>
        <v>1000</v>
      </c>
      <c r="J114" s="319">
        <v>2500</v>
      </c>
      <c r="K114" s="173">
        <f t="shared" ref="K114:K118" si="35">F114/J114</f>
        <v>0</v>
      </c>
      <c r="L114" s="318">
        <f t="shared" si="33"/>
        <v>-2500</v>
      </c>
      <c r="M114" s="323"/>
      <c r="N114" s="204"/>
      <c r="O114" s="319">
        <v>0</v>
      </c>
    </row>
    <row r="115" spans="1:15" x14ac:dyDescent="0.25">
      <c r="A115" s="297"/>
      <c r="B115" s="297"/>
      <c r="C115" s="297">
        <v>644</v>
      </c>
      <c r="D115" s="297" t="s">
        <v>129</v>
      </c>
      <c r="E115" s="298">
        <f>2365+12136.15</f>
        <v>14501.15</v>
      </c>
      <c r="F115" s="299">
        <v>2771.61</v>
      </c>
      <c r="G115" s="337">
        <v>15000</v>
      </c>
      <c r="H115" s="299"/>
      <c r="I115" s="338">
        <f t="shared" si="34"/>
        <v>-10000</v>
      </c>
      <c r="J115" s="339">
        <v>5000</v>
      </c>
      <c r="K115" s="334">
        <f t="shared" si="35"/>
        <v>0.55432199999999998</v>
      </c>
      <c r="L115" s="340">
        <f t="shared" si="33"/>
        <v>0</v>
      </c>
      <c r="M115" s="297"/>
      <c r="N115" s="297"/>
      <c r="O115" s="339">
        <v>5000</v>
      </c>
    </row>
    <row r="116" spans="1:15" x14ac:dyDescent="0.25">
      <c r="C116" s="148">
        <v>650</v>
      </c>
      <c r="D116" s="148" t="s">
        <v>204</v>
      </c>
      <c r="E116" s="160">
        <f>54174.69+965.24+728.83+16509.75</f>
        <v>72378.510000000009</v>
      </c>
      <c r="F116" s="159">
        <v>38758.079999999994</v>
      </c>
      <c r="G116" s="283">
        <v>75000</v>
      </c>
      <c r="H116" s="159"/>
      <c r="I116" s="161">
        <f t="shared" si="34"/>
        <v>5000</v>
      </c>
      <c r="J116" s="309">
        <v>80000</v>
      </c>
      <c r="K116" s="173">
        <f t="shared" si="35"/>
        <v>0.48447599999999991</v>
      </c>
      <c r="L116" s="305">
        <f t="shared" si="33"/>
        <v>-40000</v>
      </c>
      <c r="O116" s="309">
        <v>40000</v>
      </c>
    </row>
    <row r="117" spans="1:15" x14ac:dyDescent="0.25">
      <c r="C117" s="148">
        <v>680</v>
      </c>
      <c r="D117" s="148" t="s">
        <v>202</v>
      </c>
      <c r="E117" s="160">
        <v>2529.46</v>
      </c>
      <c r="F117" s="159">
        <v>841.32</v>
      </c>
      <c r="G117" s="283">
        <v>7500</v>
      </c>
      <c r="H117" s="159"/>
      <c r="I117" s="161">
        <f>J117-G117</f>
        <v>-3500</v>
      </c>
      <c r="J117" s="326">
        <v>4000</v>
      </c>
      <c r="K117" s="173">
        <f>F117/J117</f>
        <v>0.21033000000000002</v>
      </c>
      <c r="L117" s="305">
        <f t="shared" si="33"/>
        <v>0</v>
      </c>
      <c r="M117" s="152"/>
      <c r="O117" s="309">
        <v>4000</v>
      </c>
    </row>
    <row r="118" spans="1:15" ht="15.75" thickBot="1" x14ac:dyDescent="0.3">
      <c r="A118" s="166"/>
      <c r="B118" s="166"/>
      <c r="C118" s="166"/>
      <c r="D118" s="167" t="s">
        <v>38</v>
      </c>
      <c r="E118" s="168">
        <f>SUM(E109:E117)</f>
        <v>377206.42000000004</v>
      </c>
      <c r="F118" s="240">
        <f>SUM(F109:F117)</f>
        <v>264399.63</v>
      </c>
      <c r="G118" s="168">
        <f>SUM(G109:G117)</f>
        <v>394000</v>
      </c>
      <c r="H118" s="169"/>
      <c r="I118" s="170">
        <f>SUM(I109:I117)</f>
        <v>6000</v>
      </c>
      <c r="J118" s="170">
        <f>SUM(J109:J117)</f>
        <v>402000</v>
      </c>
      <c r="K118" s="171">
        <f t="shared" si="35"/>
        <v>0.65771052238805972</v>
      </c>
      <c r="L118" s="295">
        <f>SUM(L109:L117)</f>
        <v>-42500</v>
      </c>
      <c r="M118" s="296">
        <f t="shared" ref="M118:O118" si="36">SUM(M109:M117)</f>
        <v>0</v>
      </c>
      <c r="N118" s="296">
        <f t="shared" si="36"/>
        <v>0</v>
      </c>
      <c r="O118" s="296">
        <f t="shared" si="36"/>
        <v>359500</v>
      </c>
    </row>
    <row r="119" spans="1:15" ht="15.75" thickTop="1" x14ac:dyDescent="0.25">
      <c r="B119" s="148">
        <v>700</v>
      </c>
      <c r="C119" s="148" t="s">
        <v>15</v>
      </c>
      <c r="E119" s="159"/>
      <c r="F119" s="159"/>
      <c r="G119" s="159"/>
      <c r="H119" s="159"/>
      <c r="I119" s="159"/>
      <c r="J119" s="159"/>
      <c r="K119" s="172"/>
    </row>
    <row r="120" spans="1:15" x14ac:dyDescent="0.25">
      <c r="C120" s="148">
        <v>734</v>
      </c>
      <c r="D120" s="148" t="s">
        <v>209</v>
      </c>
      <c r="E120" s="160">
        <v>1000</v>
      </c>
      <c r="F120" s="159">
        <v>0</v>
      </c>
      <c r="G120" s="226">
        <v>4000</v>
      </c>
      <c r="H120" s="159"/>
      <c r="I120" s="161">
        <f>J120-G120</f>
        <v>16000</v>
      </c>
      <c r="J120" s="160">
        <v>20000</v>
      </c>
      <c r="K120" s="311">
        <f>F120/J120</f>
        <v>0</v>
      </c>
      <c r="L120" s="160">
        <f>O120-J120</f>
        <v>-10000</v>
      </c>
      <c r="O120" s="160">
        <v>10000</v>
      </c>
    </row>
    <row r="121" spans="1:15" x14ac:dyDescent="0.25">
      <c r="C121" s="148">
        <v>732</v>
      </c>
      <c r="D121" s="148" t="s">
        <v>264</v>
      </c>
      <c r="E121" s="160">
        <v>0</v>
      </c>
      <c r="F121" s="284">
        <v>2615</v>
      </c>
      <c r="G121" s="284">
        <v>5000</v>
      </c>
      <c r="H121" s="159"/>
      <c r="I121" s="161">
        <f>J121-G121</f>
        <v>7500</v>
      </c>
      <c r="J121" s="159">
        <v>12500</v>
      </c>
      <c r="K121" s="173">
        <f>F121/J121</f>
        <v>0.2092</v>
      </c>
      <c r="L121" s="160">
        <f>O121-J121</f>
        <v>0</v>
      </c>
      <c r="O121" s="161">
        <v>12500</v>
      </c>
    </row>
    <row r="122" spans="1:15" ht="15.75" thickBot="1" x14ac:dyDescent="0.3">
      <c r="A122" s="166"/>
      <c r="B122" s="166"/>
      <c r="C122" s="166"/>
      <c r="D122" s="167" t="s">
        <v>39</v>
      </c>
      <c r="E122" s="168">
        <f>SUM(E120:E120)</f>
        <v>1000</v>
      </c>
      <c r="F122" s="240">
        <f>SUM(F120:F121)</f>
        <v>2615</v>
      </c>
      <c r="G122" s="240">
        <f>SUM(G120:G121)</f>
        <v>9000</v>
      </c>
      <c r="H122" s="240">
        <f t="shared" ref="H122:J122" si="37">SUM(H120:H121)</f>
        <v>0</v>
      </c>
      <c r="I122" s="240">
        <f t="shared" si="37"/>
        <v>23500</v>
      </c>
      <c r="J122" s="240">
        <f t="shared" si="37"/>
        <v>32500</v>
      </c>
      <c r="K122" s="171">
        <f>F122/J122</f>
        <v>8.0461538461538459E-2</v>
      </c>
      <c r="L122" s="310">
        <f>SUM(L120:L121)</f>
        <v>-10000</v>
      </c>
      <c r="M122" s="310">
        <f t="shared" ref="M122:O122" si="38">SUM(M120:M121)</f>
        <v>0</v>
      </c>
      <c r="N122" s="310">
        <f t="shared" si="38"/>
        <v>0</v>
      </c>
      <c r="O122" s="310">
        <f t="shared" si="38"/>
        <v>22500</v>
      </c>
    </row>
    <row r="123" spans="1:15" ht="15.75" thickTop="1" x14ac:dyDescent="0.25">
      <c r="B123" s="148">
        <v>800</v>
      </c>
      <c r="C123" s="148" t="s">
        <v>16</v>
      </c>
      <c r="E123" s="159"/>
      <c r="F123" s="159"/>
      <c r="G123" s="159"/>
      <c r="H123" s="159"/>
      <c r="I123" s="159"/>
      <c r="J123" s="159"/>
      <c r="K123" s="172"/>
    </row>
    <row r="124" spans="1:15" x14ac:dyDescent="0.25">
      <c r="C124" s="148">
        <v>810</v>
      </c>
      <c r="D124" s="148" t="s">
        <v>220</v>
      </c>
      <c r="E124" s="160">
        <f>10124.68+575+2104.42</f>
        <v>12804.1</v>
      </c>
      <c r="F124" s="159">
        <v>5301</v>
      </c>
      <c r="G124" s="285">
        <v>17500</v>
      </c>
      <c r="H124" s="159"/>
      <c r="I124" s="161">
        <f>J124-G124</f>
        <v>-5150</v>
      </c>
      <c r="J124" s="285">
        <v>12350</v>
      </c>
      <c r="K124" s="162">
        <f>F124/J124</f>
        <v>0.42923076923076925</v>
      </c>
      <c r="L124" s="302">
        <f>O124-J124</f>
        <v>-2350</v>
      </c>
      <c r="O124" s="285">
        <v>10000</v>
      </c>
    </row>
    <row r="125" spans="1:15" x14ac:dyDescent="0.25">
      <c r="A125" s="204"/>
      <c r="B125" s="204"/>
      <c r="C125" s="204">
        <v>860</v>
      </c>
      <c r="D125" s="204" t="s">
        <v>252</v>
      </c>
      <c r="E125" s="205">
        <v>0</v>
      </c>
      <c r="F125" s="206">
        <v>0</v>
      </c>
      <c r="G125" s="319">
        <v>42000</v>
      </c>
      <c r="H125" s="206"/>
      <c r="I125" s="207">
        <f t="shared" ref="I125:I127" si="39">J125-G125</f>
        <v>-42000</v>
      </c>
      <c r="J125" s="319">
        <v>0</v>
      </c>
      <c r="K125" s="162" t="e">
        <f t="shared" ref="K125:K127" si="40">F125/J125</f>
        <v>#DIV/0!</v>
      </c>
      <c r="L125" s="321">
        <f t="shared" ref="L125:L127" si="41">O125-J125</f>
        <v>0</v>
      </c>
      <c r="M125" s="204"/>
      <c r="N125" s="204"/>
      <c r="O125" s="319">
        <v>0</v>
      </c>
    </row>
    <row r="126" spans="1:15" x14ac:dyDescent="0.25">
      <c r="A126" s="204"/>
      <c r="B126" s="204"/>
      <c r="C126" s="204">
        <v>890</v>
      </c>
      <c r="D126" s="204" t="s">
        <v>265</v>
      </c>
      <c r="E126" s="205">
        <v>2880.79</v>
      </c>
      <c r="F126" s="205">
        <v>0</v>
      </c>
      <c r="G126" s="319">
        <v>0</v>
      </c>
      <c r="H126" s="206"/>
      <c r="I126" s="207">
        <f t="shared" si="39"/>
        <v>0</v>
      </c>
      <c r="J126" s="319">
        <v>0</v>
      </c>
      <c r="K126" s="162" t="e">
        <f t="shared" si="40"/>
        <v>#DIV/0!</v>
      </c>
      <c r="L126" s="321">
        <f t="shared" si="41"/>
        <v>0</v>
      </c>
      <c r="M126" s="204"/>
      <c r="N126" s="204"/>
      <c r="O126" s="294">
        <v>0</v>
      </c>
    </row>
    <row r="127" spans="1:15" x14ac:dyDescent="0.25">
      <c r="C127" s="148">
        <v>850</v>
      </c>
      <c r="D127" s="148" t="s">
        <v>260</v>
      </c>
      <c r="E127" s="160">
        <v>0</v>
      </c>
      <c r="F127" s="284">
        <v>0</v>
      </c>
      <c r="G127" s="284">
        <v>0</v>
      </c>
      <c r="H127" s="159"/>
      <c r="I127" s="161">
        <f t="shared" si="39"/>
        <v>0</v>
      </c>
      <c r="J127" s="284"/>
      <c r="K127" s="162" t="e">
        <f t="shared" si="40"/>
        <v>#DIV/0!</v>
      </c>
      <c r="L127" s="302">
        <f t="shared" si="41"/>
        <v>0</v>
      </c>
      <c r="O127" s="161"/>
    </row>
    <row r="128" spans="1:15" ht="15.75" thickBot="1" x14ac:dyDescent="0.3">
      <c r="A128" s="166"/>
      <c r="B128" s="166"/>
      <c r="C128" s="166"/>
      <c r="D128" s="167" t="s">
        <v>40</v>
      </c>
      <c r="E128" s="168">
        <f>SUM(E124:E127)</f>
        <v>15684.89</v>
      </c>
      <c r="F128" s="240">
        <f>SUM(F124:F127)</f>
        <v>5301</v>
      </c>
      <c r="G128" s="168">
        <f>SUM(G124:G127)</f>
        <v>59500</v>
      </c>
      <c r="H128" s="169"/>
      <c r="I128" s="170">
        <f>SUM(I124:I125)</f>
        <v>-47150</v>
      </c>
      <c r="J128" s="170">
        <f>SUM(J124:J127)</f>
        <v>12350</v>
      </c>
      <c r="K128" s="171">
        <f>F128/J128</f>
        <v>0.42923076923076925</v>
      </c>
      <c r="L128" s="295">
        <f>SUM(L124:L127)</f>
        <v>-2350</v>
      </c>
      <c r="M128" s="296">
        <f t="shared" ref="M128:O128" si="42">SUM(M124:M127)</f>
        <v>0</v>
      </c>
      <c r="N128" s="296">
        <f t="shared" si="42"/>
        <v>0</v>
      </c>
      <c r="O128" s="296">
        <f t="shared" si="42"/>
        <v>10000</v>
      </c>
    </row>
    <row r="129" spans="1:16" ht="16.5" thickTop="1" thickBot="1" x14ac:dyDescent="0.3">
      <c r="A129" s="176"/>
      <c r="B129" s="176"/>
      <c r="C129" s="176"/>
      <c r="D129" s="177" t="s">
        <v>41</v>
      </c>
      <c r="E129" s="178">
        <f>E75+E82+E91+E98+E107+E118+E122+E128</f>
        <v>2912657.31</v>
      </c>
      <c r="F129" s="179">
        <f>F75+F82+F91+F98+F107+F118+F122+F128</f>
        <v>2822519.0999999992</v>
      </c>
      <c r="G129" s="178">
        <f>G75+G82+G91+G98+G107+G118+G122+G128</f>
        <v>3253413.42</v>
      </c>
      <c r="H129" s="169"/>
      <c r="I129" s="180">
        <f>I75+I82+I91+I98+I107+I118+I122+I128</f>
        <v>799262.58</v>
      </c>
      <c r="J129" s="180">
        <f>J75+J82+J91+J98+J107+J118+J122+J128</f>
        <v>4061276</v>
      </c>
      <c r="K129" s="181">
        <f>F129/J129</f>
        <v>0.69498332543762087</v>
      </c>
      <c r="L129" s="312">
        <f>L122+L118+L107+L98+L91+L82+L75</f>
        <v>-152276.08249999996</v>
      </c>
      <c r="M129" s="291"/>
      <c r="N129" s="291"/>
      <c r="O129" s="313">
        <f>O128+O122+O118+O107+O98+O91+O82+O75</f>
        <v>3906649.9174999995</v>
      </c>
      <c r="P129" s="159"/>
    </row>
    <row r="130" spans="1:16" ht="15.75" thickBot="1" x14ac:dyDescent="0.3">
      <c r="A130" s="182"/>
      <c r="B130" s="182"/>
      <c r="C130" s="182"/>
      <c r="D130" s="182"/>
      <c r="E130" s="183"/>
      <c r="F130" s="183"/>
      <c r="G130" s="183"/>
      <c r="H130" s="159"/>
      <c r="I130" s="183"/>
      <c r="J130" s="183"/>
      <c r="K130" s="184"/>
    </row>
    <row r="131" spans="1:16" ht="16.5" thickBot="1" x14ac:dyDescent="0.3">
      <c r="A131" s="272"/>
      <c r="B131" s="272"/>
      <c r="C131" s="272"/>
      <c r="D131" s="273" t="s">
        <v>263</v>
      </c>
      <c r="E131" s="274">
        <f>E60-E129+E135</f>
        <v>-57531.979999999981</v>
      </c>
      <c r="F131" s="274">
        <f>F60-F129</f>
        <v>137474.90000000084</v>
      </c>
      <c r="G131" s="274">
        <f>G60-G129</f>
        <v>-196975.41999999993</v>
      </c>
      <c r="H131" s="185"/>
      <c r="I131" s="274">
        <f>I60-I129</f>
        <v>-308033.73</v>
      </c>
      <c r="J131" s="274">
        <f>J60-J129</f>
        <v>118747.85000000009</v>
      </c>
      <c r="K131" s="275">
        <f>F131/J131</f>
        <v>1.1577043289625937</v>
      </c>
      <c r="L131" s="314" t="s">
        <v>263</v>
      </c>
      <c r="M131" s="315">
        <f>M60-M129</f>
        <v>0</v>
      </c>
      <c r="N131" s="315">
        <f>N60-N129</f>
        <v>0</v>
      </c>
      <c r="O131" s="316">
        <f>O60-O129</f>
        <v>162737.58250000048</v>
      </c>
    </row>
    <row r="132" spans="1:16" ht="15.75" hidden="1" x14ac:dyDescent="0.25">
      <c r="A132" s="189"/>
      <c r="B132" s="189"/>
      <c r="C132" s="189"/>
      <c r="D132" s="190" t="s">
        <v>44</v>
      </c>
      <c r="E132" s="191">
        <v>0</v>
      </c>
      <c r="F132" s="191">
        <v>0</v>
      </c>
      <c r="G132" s="191">
        <v>0</v>
      </c>
      <c r="H132" s="185"/>
      <c r="I132" s="191"/>
      <c r="J132" s="191">
        <v>0</v>
      </c>
      <c r="K132" s="192"/>
    </row>
    <row r="133" spans="1:16" ht="15.75" thickBot="1" x14ac:dyDescent="0.3">
      <c r="E133" s="159"/>
      <c r="F133" s="159" t="s">
        <v>302</v>
      </c>
      <c r="G133" s="159"/>
      <c r="H133" s="159"/>
      <c r="I133" s="152" t="s">
        <v>180</v>
      </c>
      <c r="J133" s="276">
        <f>J60*0.01</f>
        <v>41800.238499999999</v>
      </c>
      <c r="K133" s="172"/>
      <c r="O133" s="324"/>
    </row>
    <row r="134" spans="1:16" ht="15.75" hidden="1" x14ac:dyDescent="0.25">
      <c r="A134" s="199"/>
      <c r="B134" s="199"/>
      <c r="C134" s="200"/>
      <c r="D134" s="201" t="s">
        <v>43</v>
      </c>
      <c r="E134" s="202">
        <v>448038</v>
      </c>
      <c r="F134" s="202">
        <f>F131+E134-F132</f>
        <v>585512.90000000084</v>
      </c>
      <c r="G134" s="202">
        <f>G131+E134-G132</f>
        <v>251062.58000000007</v>
      </c>
      <c r="H134" s="185"/>
      <c r="I134" s="202"/>
      <c r="J134" s="202">
        <f>J131+E134-J132</f>
        <v>566785.85000000009</v>
      </c>
      <c r="K134" s="203">
        <f>F134/J134</f>
        <v>1.0330407860393847</v>
      </c>
    </row>
    <row r="135" spans="1:16" x14ac:dyDescent="0.25">
      <c r="E135" s="159"/>
      <c r="F135" s="159"/>
      <c r="G135" s="159"/>
      <c r="H135" s="159"/>
      <c r="I135" s="159"/>
      <c r="K135" s="172"/>
    </row>
    <row r="136" spans="1:16" x14ac:dyDescent="0.25">
      <c r="B136" s="345"/>
      <c r="C136" s="345"/>
      <c r="D136" s="345"/>
      <c r="E136" s="345"/>
      <c r="F136" s="345"/>
      <c r="G136" s="345"/>
      <c r="H136" s="159"/>
      <c r="I136" s="159"/>
      <c r="K136" s="172"/>
    </row>
    <row r="137" spans="1:16" x14ac:dyDescent="0.25">
      <c r="B137" s="346"/>
      <c r="C137" s="346"/>
      <c r="D137" s="217"/>
      <c r="E137" s="159"/>
      <c r="F137" s="159"/>
      <c r="G137" s="159"/>
      <c r="H137" s="159"/>
      <c r="I137" s="159"/>
      <c r="K137" s="172"/>
    </row>
    <row r="138" spans="1:16" x14ac:dyDescent="0.25">
      <c r="B138" s="343"/>
      <c r="C138" s="343"/>
      <c r="E138" s="159"/>
      <c r="F138" s="159"/>
      <c r="G138" s="159"/>
      <c r="H138" s="159"/>
      <c r="I138" s="159"/>
      <c r="K138" s="172"/>
    </row>
    <row r="139" spans="1:16" x14ac:dyDescent="0.25">
      <c r="B139" s="343"/>
      <c r="C139" s="343"/>
      <c r="E139" s="159"/>
      <c r="F139" s="159"/>
      <c r="G139" s="159"/>
      <c r="H139" s="159"/>
      <c r="I139" s="159"/>
      <c r="K139" s="172"/>
    </row>
    <row r="140" spans="1:16" x14ac:dyDescent="0.25">
      <c r="B140" s="343"/>
      <c r="C140" s="343"/>
      <c r="E140" s="159"/>
      <c r="F140" s="159"/>
      <c r="G140" s="159"/>
      <c r="H140" s="159"/>
      <c r="I140" s="159"/>
      <c r="K140" s="172"/>
    </row>
    <row r="141" spans="1:16" x14ac:dyDescent="0.25">
      <c r="B141" s="343"/>
      <c r="C141" s="343"/>
      <c r="E141" s="159"/>
      <c r="F141" s="159"/>
      <c r="G141" s="159"/>
      <c r="H141" s="159"/>
      <c r="I141" s="159"/>
      <c r="K141" s="172"/>
    </row>
    <row r="142" spans="1:16" x14ac:dyDescent="0.25">
      <c r="B142" s="343"/>
      <c r="C142" s="343"/>
      <c r="E142" s="159"/>
      <c r="F142" s="159"/>
      <c r="G142" s="159"/>
      <c r="H142" s="159"/>
      <c r="I142" s="159"/>
      <c r="K142" s="172"/>
    </row>
    <row r="143" spans="1:16" x14ac:dyDescent="0.25">
      <c r="B143" s="343"/>
      <c r="C143" s="343"/>
      <c r="E143" s="159"/>
      <c r="F143" s="159"/>
      <c r="G143" s="159"/>
      <c r="H143" s="159"/>
      <c r="I143" s="159"/>
      <c r="K143" s="172"/>
    </row>
    <row r="144" spans="1:16" x14ac:dyDescent="0.25">
      <c r="B144" s="343"/>
      <c r="C144" s="343"/>
      <c r="E144" s="159"/>
      <c r="F144" s="159"/>
      <c r="G144" s="159"/>
      <c r="H144" s="159"/>
      <c r="I144" s="159"/>
      <c r="K144" s="172"/>
    </row>
    <row r="145" spans="2:11" x14ac:dyDescent="0.25">
      <c r="B145" s="343"/>
      <c r="C145" s="343"/>
      <c r="E145" s="159"/>
      <c r="F145" s="159"/>
      <c r="G145" s="159"/>
      <c r="H145" s="159"/>
      <c r="I145" s="159"/>
      <c r="K145" s="172"/>
    </row>
    <row r="146" spans="2:11" x14ac:dyDescent="0.25">
      <c r="B146" s="343"/>
      <c r="C146" s="343"/>
      <c r="E146" s="159"/>
      <c r="F146" s="159"/>
      <c r="G146" s="159"/>
      <c r="H146" s="159"/>
      <c r="I146" s="159"/>
      <c r="K146" s="172"/>
    </row>
    <row r="147" spans="2:11" x14ac:dyDescent="0.25">
      <c r="B147" s="343"/>
      <c r="C147" s="343"/>
      <c r="E147" s="159"/>
      <c r="F147" s="159"/>
      <c r="G147" s="159"/>
      <c r="H147" s="159"/>
      <c r="I147" s="159"/>
      <c r="K147" s="172"/>
    </row>
    <row r="148" spans="2:11" x14ac:dyDescent="0.25">
      <c r="B148" s="343"/>
      <c r="C148" s="343"/>
      <c r="E148" s="159"/>
      <c r="F148" s="159"/>
      <c r="G148" s="159"/>
      <c r="H148" s="159"/>
      <c r="I148" s="159"/>
      <c r="K148" s="172"/>
    </row>
    <row r="149" spans="2:11" x14ac:dyDescent="0.25">
      <c r="B149" s="343"/>
      <c r="C149" s="343"/>
      <c r="E149" s="159"/>
      <c r="F149" s="159"/>
      <c r="G149" s="159"/>
      <c r="H149" s="159"/>
      <c r="I149" s="159"/>
      <c r="K149" s="172"/>
    </row>
    <row r="150" spans="2:11" x14ac:dyDescent="0.25">
      <c r="B150" s="343"/>
      <c r="C150" s="343"/>
      <c r="E150" s="159"/>
      <c r="F150" s="159"/>
      <c r="G150" s="159"/>
      <c r="H150" s="159"/>
      <c r="I150" s="159"/>
      <c r="K150" s="172"/>
    </row>
    <row r="151" spans="2:11" x14ac:dyDescent="0.25">
      <c r="B151" s="343"/>
      <c r="C151" s="343"/>
      <c r="E151" s="159"/>
      <c r="F151" s="159"/>
      <c r="G151" s="159"/>
      <c r="H151" s="159"/>
      <c r="I151" s="159"/>
      <c r="K151" s="172"/>
    </row>
    <row r="152" spans="2:11" x14ac:dyDescent="0.25">
      <c r="B152" s="343"/>
      <c r="C152" s="343"/>
      <c r="E152" s="159"/>
      <c r="F152" s="159"/>
      <c r="G152" s="159"/>
      <c r="H152" s="159"/>
      <c r="I152" s="159"/>
      <c r="K152" s="172"/>
    </row>
    <row r="153" spans="2:11" x14ac:dyDescent="0.25">
      <c r="B153" s="343"/>
      <c r="C153" s="343"/>
      <c r="E153" s="159"/>
      <c r="F153" s="159"/>
      <c r="G153" s="159"/>
      <c r="H153" s="159"/>
      <c r="I153" s="159"/>
      <c r="K153" s="172"/>
    </row>
    <row r="154" spans="2:11" x14ac:dyDescent="0.25">
      <c r="B154" s="343"/>
      <c r="C154" s="343"/>
      <c r="E154" s="159"/>
      <c r="F154" s="159"/>
      <c r="G154" s="159"/>
      <c r="H154" s="159"/>
      <c r="I154" s="159"/>
      <c r="K154" s="172"/>
    </row>
    <row r="155" spans="2:11" x14ac:dyDescent="0.25">
      <c r="B155" s="343"/>
      <c r="C155" s="343"/>
      <c r="E155" s="159"/>
      <c r="F155" s="159"/>
      <c r="G155" s="159"/>
      <c r="H155" s="159"/>
      <c r="I155" s="159"/>
      <c r="K155" s="172"/>
    </row>
    <row r="156" spans="2:11" x14ac:dyDescent="0.25">
      <c r="B156" s="343"/>
      <c r="C156" s="343"/>
      <c r="E156" s="159"/>
      <c r="F156" s="159"/>
      <c r="G156" s="159"/>
      <c r="H156" s="159"/>
      <c r="I156" s="159"/>
      <c r="K156" s="172"/>
    </row>
    <row r="157" spans="2:11" x14ac:dyDescent="0.25">
      <c r="B157" s="343"/>
      <c r="C157" s="343"/>
      <c r="E157" s="159"/>
      <c r="F157" s="159"/>
      <c r="G157" s="159"/>
      <c r="H157" s="159"/>
      <c r="I157" s="159"/>
      <c r="K157" s="172"/>
    </row>
    <row r="158" spans="2:11" x14ac:dyDescent="0.25">
      <c r="B158" s="343"/>
      <c r="C158" s="343"/>
      <c r="E158" s="159"/>
      <c r="F158" s="159"/>
      <c r="G158" s="159"/>
      <c r="H158" s="159"/>
      <c r="I158" s="159"/>
      <c r="K158" s="172"/>
    </row>
    <row r="159" spans="2:11" x14ac:dyDescent="0.25">
      <c r="B159" s="343"/>
      <c r="C159" s="343"/>
      <c r="E159" s="159"/>
      <c r="F159" s="159"/>
      <c r="G159" s="159"/>
      <c r="H159" s="159"/>
      <c r="I159" s="159"/>
      <c r="K159" s="172"/>
    </row>
    <row r="160" spans="2:11" x14ac:dyDescent="0.25">
      <c r="B160" s="343"/>
      <c r="C160" s="343"/>
      <c r="E160" s="159"/>
      <c r="F160" s="159"/>
      <c r="G160" s="159"/>
      <c r="H160" s="159"/>
      <c r="I160" s="159"/>
      <c r="K160" s="172"/>
    </row>
    <row r="161" spans="5:11" x14ac:dyDescent="0.25">
      <c r="E161" s="159"/>
      <c r="F161" s="159"/>
      <c r="G161" s="159"/>
      <c r="H161" s="159"/>
      <c r="I161" s="159"/>
      <c r="K161" s="172"/>
    </row>
    <row r="162" spans="5:11" x14ac:dyDescent="0.25">
      <c r="E162" s="159"/>
      <c r="F162" s="159"/>
      <c r="G162" s="159"/>
      <c r="H162" s="159"/>
      <c r="I162" s="159"/>
      <c r="K162" s="172"/>
    </row>
    <row r="163" spans="5:11" x14ac:dyDescent="0.25">
      <c r="E163" s="159"/>
      <c r="F163" s="159"/>
      <c r="G163" s="159"/>
      <c r="H163" s="159"/>
      <c r="I163" s="159"/>
      <c r="K163" s="172"/>
    </row>
    <row r="164" spans="5:11" x14ac:dyDescent="0.25">
      <c r="E164" s="159"/>
      <c r="F164" s="159"/>
      <c r="G164" s="159"/>
      <c r="H164" s="159"/>
      <c r="I164" s="159"/>
      <c r="K164" s="172"/>
    </row>
    <row r="165" spans="5:11" x14ac:dyDescent="0.25">
      <c r="E165" s="159"/>
      <c r="F165" s="159"/>
      <c r="G165" s="159"/>
      <c r="H165" s="159"/>
      <c r="I165" s="159"/>
      <c r="K165" s="172"/>
    </row>
    <row r="166" spans="5:11" x14ac:dyDescent="0.25">
      <c r="E166" s="159"/>
      <c r="F166" s="159"/>
      <c r="G166" s="159"/>
      <c r="H166" s="159"/>
      <c r="I166" s="159"/>
      <c r="K166" s="172"/>
    </row>
    <row r="167" spans="5:11" x14ac:dyDescent="0.25">
      <c r="E167" s="159"/>
      <c r="F167" s="159"/>
      <c r="G167" s="159"/>
      <c r="H167" s="159"/>
      <c r="I167" s="159"/>
      <c r="K167" s="172"/>
    </row>
    <row r="168" spans="5:11" x14ac:dyDescent="0.25">
      <c r="E168" s="159"/>
      <c r="F168" s="159"/>
      <c r="G168" s="159"/>
      <c r="H168" s="159"/>
      <c r="I168" s="159"/>
      <c r="K168" s="172"/>
    </row>
    <row r="169" spans="5:11" x14ac:dyDescent="0.25">
      <c r="E169" s="159"/>
      <c r="F169" s="159"/>
      <c r="G169" s="159"/>
      <c r="H169" s="159"/>
      <c r="I169" s="159"/>
      <c r="K169" s="172"/>
    </row>
    <row r="170" spans="5:11" x14ac:dyDescent="0.25">
      <c r="E170" s="159"/>
      <c r="F170" s="159"/>
      <c r="G170" s="159"/>
      <c r="H170" s="159"/>
      <c r="I170" s="159"/>
      <c r="K170" s="172"/>
    </row>
    <row r="171" spans="5:11" x14ac:dyDescent="0.25">
      <c r="E171" s="159"/>
      <c r="F171" s="159"/>
      <c r="G171" s="159"/>
      <c r="H171" s="159"/>
      <c r="I171" s="159"/>
      <c r="K171" s="172"/>
    </row>
    <row r="172" spans="5:11" x14ac:dyDescent="0.25">
      <c r="E172" s="159"/>
      <c r="F172" s="159"/>
      <c r="G172" s="159"/>
      <c r="H172" s="159"/>
      <c r="I172" s="159"/>
      <c r="K172" s="172"/>
    </row>
    <row r="173" spans="5:11" x14ac:dyDescent="0.25">
      <c r="E173" s="159"/>
      <c r="F173" s="159"/>
      <c r="G173" s="159"/>
      <c r="H173" s="159"/>
      <c r="I173" s="159"/>
      <c r="K173" s="172"/>
    </row>
    <row r="174" spans="5:11" x14ac:dyDescent="0.25">
      <c r="E174" s="159"/>
      <c r="F174" s="159"/>
      <c r="G174" s="159"/>
      <c r="H174" s="159"/>
      <c r="I174" s="159"/>
      <c r="K174" s="172"/>
    </row>
    <row r="175" spans="5:11" x14ac:dyDescent="0.25">
      <c r="E175" s="159"/>
      <c r="F175" s="159"/>
      <c r="G175" s="159"/>
      <c r="H175" s="159"/>
      <c r="I175" s="159"/>
      <c r="K175" s="172"/>
    </row>
    <row r="176" spans="5:11" x14ac:dyDescent="0.25">
      <c r="E176" s="159"/>
      <c r="F176" s="159"/>
      <c r="G176" s="159"/>
      <c r="H176" s="159"/>
      <c r="I176" s="159"/>
      <c r="K176" s="172"/>
    </row>
    <row r="177" spans="5:11" x14ac:dyDescent="0.25">
      <c r="E177" s="159"/>
      <c r="F177" s="159"/>
      <c r="G177" s="159"/>
      <c r="H177" s="159"/>
      <c r="I177" s="159"/>
      <c r="K177" s="172"/>
    </row>
    <row r="178" spans="5:11" x14ac:dyDescent="0.25">
      <c r="E178" s="159"/>
      <c r="F178" s="159"/>
      <c r="G178" s="159"/>
      <c r="H178" s="159"/>
      <c r="I178" s="159"/>
      <c r="K178" s="172"/>
    </row>
    <row r="179" spans="5:11" x14ac:dyDescent="0.25">
      <c r="E179" s="159"/>
      <c r="F179" s="159"/>
      <c r="G179" s="159"/>
      <c r="H179" s="159"/>
      <c r="I179" s="159"/>
      <c r="K179" s="172"/>
    </row>
    <row r="180" spans="5:11" x14ac:dyDescent="0.25">
      <c r="E180" s="159"/>
      <c r="F180" s="159"/>
      <c r="G180" s="159"/>
      <c r="H180" s="159"/>
      <c r="I180" s="159"/>
      <c r="K180" s="172"/>
    </row>
    <row r="181" spans="5:11" x14ac:dyDescent="0.25">
      <c r="E181" s="159"/>
      <c r="F181" s="159"/>
      <c r="G181" s="159"/>
      <c r="H181" s="159"/>
      <c r="I181" s="159"/>
      <c r="K181" s="172"/>
    </row>
    <row r="182" spans="5:11" x14ac:dyDescent="0.25">
      <c r="E182" s="159"/>
      <c r="F182" s="159"/>
      <c r="G182" s="159"/>
      <c r="H182" s="159"/>
      <c r="I182" s="159"/>
      <c r="K182" s="172"/>
    </row>
    <row r="183" spans="5:11" x14ac:dyDescent="0.25">
      <c r="E183" s="159"/>
      <c r="F183" s="159"/>
      <c r="G183" s="159"/>
      <c r="H183" s="159"/>
      <c r="I183" s="159"/>
      <c r="K183" s="172"/>
    </row>
    <row r="184" spans="5:11" x14ac:dyDescent="0.25">
      <c r="E184" s="159"/>
      <c r="F184" s="159"/>
      <c r="G184" s="159"/>
      <c r="H184" s="159"/>
      <c r="I184" s="159"/>
      <c r="K184" s="172"/>
    </row>
    <row r="185" spans="5:11" x14ac:dyDescent="0.25">
      <c r="E185" s="159"/>
      <c r="F185" s="159"/>
      <c r="G185" s="159"/>
      <c r="H185" s="159"/>
      <c r="I185" s="159"/>
      <c r="K185" s="172"/>
    </row>
    <row r="186" spans="5:11" x14ac:dyDescent="0.25">
      <c r="E186" s="159"/>
      <c r="F186" s="159"/>
      <c r="G186" s="159"/>
      <c r="H186" s="159"/>
      <c r="I186" s="159"/>
      <c r="K186" s="172"/>
    </row>
    <row r="187" spans="5:11" x14ac:dyDescent="0.25">
      <c r="E187" s="159"/>
      <c r="F187" s="159"/>
      <c r="G187" s="159"/>
      <c r="H187" s="159"/>
      <c r="I187" s="159"/>
      <c r="K187" s="172"/>
    </row>
    <row r="188" spans="5:11" x14ac:dyDescent="0.25">
      <c r="E188" s="159"/>
      <c r="F188" s="159"/>
      <c r="G188" s="159"/>
      <c r="H188" s="159"/>
      <c r="I188" s="159"/>
      <c r="K188" s="172"/>
    </row>
    <row r="189" spans="5:11" x14ac:dyDescent="0.25">
      <c r="E189" s="159"/>
      <c r="F189" s="159"/>
      <c r="G189" s="159"/>
      <c r="H189" s="159"/>
      <c r="I189" s="159"/>
      <c r="K189" s="172"/>
    </row>
    <row r="190" spans="5:11" x14ac:dyDescent="0.25">
      <c r="E190" s="159"/>
      <c r="F190" s="159"/>
      <c r="G190" s="159"/>
      <c r="H190" s="159"/>
      <c r="I190" s="159"/>
      <c r="K190" s="172"/>
    </row>
    <row r="191" spans="5:11" x14ac:dyDescent="0.25">
      <c r="E191" s="159"/>
      <c r="F191" s="159"/>
      <c r="G191" s="159"/>
      <c r="H191" s="159"/>
      <c r="I191" s="159"/>
      <c r="K191" s="172"/>
    </row>
    <row r="192" spans="5:11" x14ac:dyDescent="0.25">
      <c r="E192" s="159"/>
      <c r="F192" s="159"/>
      <c r="G192" s="159"/>
      <c r="H192" s="159"/>
      <c r="I192" s="159"/>
      <c r="K192" s="172"/>
    </row>
    <row r="193" spans="5:11" x14ac:dyDescent="0.25">
      <c r="E193" s="159"/>
      <c r="F193" s="159"/>
      <c r="G193" s="159"/>
      <c r="H193" s="159"/>
      <c r="I193" s="159"/>
      <c r="K193" s="172"/>
    </row>
    <row r="194" spans="5:11" x14ac:dyDescent="0.25">
      <c r="E194" s="159"/>
      <c r="F194" s="159"/>
      <c r="G194" s="159"/>
      <c r="H194" s="159"/>
      <c r="I194" s="159"/>
      <c r="K194" s="172"/>
    </row>
    <row r="195" spans="5:11" x14ac:dyDescent="0.25">
      <c r="E195" s="159"/>
      <c r="F195" s="159"/>
      <c r="G195" s="159"/>
      <c r="H195" s="159"/>
      <c r="I195" s="159"/>
      <c r="K195" s="172"/>
    </row>
    <row r="196" spans="5:11" x14ac:dyDescent="0.25">
      <c r="E196" s="159"/>
      <c r="F196" s="159"/>
      <c r="G196" s="159"/>
      <c r="H196" s="159"/>
      <c r="I196" s="159"/>
      <c r="K196" s="172"/>
    </row>
    <row r="197" spans="5:11" x14ac:dyDescent="0.25">
      <c r="E197" s="159"/>
      <c r="F197" s="159"/>
      <c r="G197" s="159"/>
      <c r="H197" s="159"/>
      <c r="I197" s="159"/>
      <c r="K197" s="172"/>
    </row>
    <row r="198" spans="5:11" x14ac:dyDescent="0.25">
      <c r="E198" s="159"/>
      <c r="F198" s="159"/>
      <c r="G198" s="159"/>
      <c r="H198" s="159"/>
      <c r="I198" s="159"/>
      <c r="K198" s="172"/>
    </row>
    <row r="199" spans="5:11" x14ac:dyDescent="0.25">
      <c r="E199" s="159"/>
      <c r="F199" s="159"/>
      <c r="G199" s="159"/>
      <c r="H199" s="159"/>
      <c r="I199" s="159"/>
      <c r="K199" s="172"/>
    </row>
    <row r="200" spans="5:11" x14ac:dyDescent="0.25">
      <c r="E200" s="159"/>
      <c r="F200" s="159"/>
      <c r="G200" s="159"/>
      <c r="H200" s="159"/>
      <c r="I200" s="159"/>
      <c r="K200" s="172"/>
    </row>
    <row r="201" spans="5:11" x14ac:dyDescent="0.25">
      <c r="E201" s="159"/>
      <c r="F201" s="159"/>
      <c r="G201" s="159"/>
      <c r="H201" s="159"/>
      <c r="I201" s="159"/>
      <c r="K201" s="172"/>
    </row>
    <row r="202" spans="5:11" x14ac:dyDescent="0.25">
      <c r="E202" s="159"/>
      <c r="F202" s="159"/>
      <c r="G202" s="159"/>
      <c r="H202" s="159"/>
      <c r="I202" s="159"/>
      <c r="K202" s="172"/>
    </row>
    <row r="203" spans="5:11" x14ac:dyDescent="0.25">
      <c r="E203" s="159"/>
      <c r="F203" s="159"/>
      <c r="G203" s="159"/>
      <c r="H203" s="159"/>
      <c r="I203" s="159"/>
      <c r="K203" s="172"/>
    </row>
    <row r="204" spans="5:11" x14ac:dyDescent="0.25">
      <c r="E204" s="159"/>
      <c r="F204" s="159"/>
      <c r="G204" s="159"/>
      <c r="H204" s="159"/>
      <c r="I204" s="159"/>
      <c r="K204" s="172"/>
    </row>
    <row r="205" spans="5:11" x14ac:dyDescent="0.25">
      <c r="E205" s="159"/>
      <c r="F205" s="159"/>
      <c r="G205" s="159"/>
      <c r="H205" s="159"/>
      <c r="I205" s="159"/>
      <c r="K205" s="172"/>
    </row>
    <row r="206" spans="5:11" x14ac:dyDescent="0.25">
      <c r="E206" s="159"/>
      <c r="F206" s="159"/>
      <c r="G206" s="159"/>
      <c r="H206" s="159"/>
      <c r="I206" s="159"/>
      <c r="K206" s="172"/>
    </row>
    <row r="207" spans="5:11" x14ac:dyDescent="0.25">
      <c r="E207" s="159"/>
      <c r="F207" s="159"/>
      <c r="G207" s="159"/>
      <c r="H207" s="159"/>
      <c r="I207" s="159"/>
      <c r="K207" s="172"/>
    </row>
    <row r="208" spans="5:11" x14ac:dyDescent="0.25">
      <c r="E208" s="159"/>
      <c r="F208" s="159"/>
      <c r="G208" s="159"/>
      <c r="H208" s="159"/>
      <c r="I208" s="159"/>
      <c r="K208" s="172"/>
    </row>
    <row r="209" spans="5:11" x14ac:dyDescent="0.25">
      <c r="E209" s="159"/>
      <c r="F209" s="159"/>
      <c r="G209" s="159"/>
      <c r="H209" s="159"/>
      <c r="I209" s="159"/>
      <c r="K209" s="172"/>
    </row>
    <row r="210" spans="5:11" x14ac:dyDescent="0.25">
      <c r="E210" s="159"/>
      <c r="F210" s="159"/>
      <c r="G210" s="159"/>
      <c r="H210" s="159"/>
      <c r="I210" s="159"/>
      <c r="K210" s="172"/>
    </row>
    <row r="211" spans="5:11" x14ac:dyDescent="0.25">
      <c r="E211" s="159"/>
      <c r="F211" s="159"/>
      <c r="G211" s="159"/>
      <c r="H211" s="159"/>
      <c r="I211" s="159"/>
      <c r="K211" s="172"/>
    </row>
    <row r="212" spans="5:11" x14ac:dyDescent="0.25">
      <c r="E212" s="159"/>
      <c r="F212" s="159"/>
      <c r="G212" s="159"/>
      <c r="H212" s="159"/>
      <c r="I212" s="159"/>
      <c r="K212" s="172"/>
    </row>
    <row r="213" spans="5:11" x14ac:dyDescent="0.25">
      <c r="E213" s="159"/>
      <c r="F213" s="159"/>
      <c r="G213" s="159"/>
      <c r="H213" s="159"/>
      <c r="I213" s="159"/>
      <c r="K213" s="172"/>
    </row>
    <row r="214" spans="5:11" x14ac:dyDescent="0.25">
      <c r="E214" s="159"/>
      <c r="F214" s="159"/>
      <c r="G214" s="159"/>
      <c r="H214" s="159"/>
      <c r="I214" s="159"/>
      <c r="K214" s="172"/>
    </row>
    <row r="215" spans="5:11" x14ac:dyDescent="0.25">
      <c r="E215" s="159"/>
      <c r="F215" s="159"/>
      <c r="G215" s="159"/>
      <c r="H215" s="159"/>
      <c r="I215" s="159"/>
      <c r="K215" s="172"/>
    </row>
    <row r="216" spans="5:11" x14ac:dyDescent="0.25">
      <c r="E216" s="159"/>
      <c r="F216" s="159"/>
      <c r="G216" s="159"/>
      <c r="H216" s="159"/>
      <c r="I216" s="159"/>
      <c r="K216" s="172"/>
    </row>
    <row r="217" spans="5:11" x14ac:dyDescent="0.25">
      <c r="E217" s="159"/>
      <c r="F217" s="159"/>
      <c r="G217" s="159"/>
      <c r="H217" s="159"/>
      <c r="I217" s="159"/>
      <c r="K217" s="172"/>
    </row>
    <row r="218" spans="5:11" x14ac:dyDescent="0.25">
      <c r="E218" s="159"/>
      <c r="F218" s="159"/>
      <c r="G218" s="159"/>
      <c r="H218" s="159"/>
      <c r="I218" s="159"/>
      <c r="K218" s="172"/>
    </row>
    <row r="219" spans="5:11" x14ac:dyDescent="0.25">
      <c r="E219" s="159"/>
      <c r="F219" s="159"/>
      <c r="G219" s="159"/>
      <c r="H219" s="159"/>
      <c r="I219" s="159"/>
      <c r="K219" s="172"/>
    </row>
    <row r="220" spans="5:11" x14ac:dyDescent="0.25">
      <c r="E220" s="159"/>
      <c r="F220" s="159"/>
      <c r="G220" s="159"/>
      <c r="H220" s="159"/>
      <c r="I220" s="159"/>
      <c r="K220" s="172"/>
    </row>
    <row r="221" spans="5:11" x14ac:dyDescent="0.25">
      <c r="E221" s="159"/>
      <c r="F221" s="159"/>
      <c r="G221" s="159"/>
      <c r="H221" s="159"/>
      <c r="I221" s="159"/>
      <c r="K221" s="172"/>
    </row>
    <row r="222" spans="5:11" x14ac:dyDescent="0.25">
      <c r="E222" s="159"/>
      <c r="F222" s="159"/>
      <c r="G222" s="159"/>
      <c r="H222" s="159"/>
      <c r="I222" s="159"/>
      <c r="K222" s="172"/>
    </row>
    <row r="223" spans="5:11" x14ac:dyDescent="0.25">
      <c r="E223" s="159"/>
      <c r="F223" s="159"/>
      <c r="G223" s="159"/>
      <c r="H223" s="159"/>
      <c r="I223" s="159"/>
      <c r="K223" s="172"/>
    </row>
    <row r="224" spans="5:11" x14ac:dyDescent="0.25">
      <c r="E224" s="159"/>
      <c r="F224" s="159"/>
      <c r="G224" s="159"/>
      <c r="H224" s="159"/>
      <c r="I224" s="159"/>
      <c r="K224" s="172"/>
    </row>
    <row r="225" spans="5:11" x14ac:dyDescent="0.25">
      <c r="E225" s="159"/>
      <c r="F225" s="159"/>
      <c r="G225" s="159"/>
      <c r="H225" s="159"/>
      <c r="I225" s="159"/>
      <c r="K225" s="172"/>
    </row>
    <row r="226" spans="5:11" x14ac:dyDescent="0.25">
      <c r="E226" s="159"/>
      <c r="F226" s="159"/>
      <c r="G226" s="159"/>
      <c r="H226" s="159"/>
      <c r="I226" s="159"/>
      <c r="K226" s="172"/>
    </row>
    <row r="227" spans="5:11" x14ac:dyDescent="0.25">
      <c r="E227" s="159"/>
      <c r="F227" s="159"/>
      <c r="G227" s="159"/>
      <c r="H227" s="159"/>
      <c r="I227" s="159"/>
      <c r="K227" s="172"/>
    </row>
    <row r="228" spans="5:11" x14ac:dyDescent="0.25">
      <c r="E228" s="159"/>
      <c r="F228" s="159"/>
      <c r="G228" s="159"/>
      <c r="H228" s="159"/>
      <c r="I228" s="159"/>
      <c r="K228" s="172"/>
    </row>
    <row r="229" spans="5:11" x14ac:dyDescent="0.25">
      <c r="E229" s="159"/>
      <c r="F229" s="159"/>
      <c r="G229" s="159"/>
      <c r="H229" s="159"/>
      <c r="I229" s="159"/>
      <c r="K229" s="172"/>
    </row>
    <row r="230" spans="5:11" x14ac:dyDescent="0.25">
      <c r="E230" s="159"/>
      <c r="F230" s="159"/>
      <c r="G230" s="159"/>
      <c r="H230" s="159"/>
      <c r="I230" s="159"/>
      <c r="K230" s="172"/>
    </row>
    <row r="231" spans="5:11" x14ac:dyDescent="0.25">
      <c r="E231" s="159"/>
      <c r="F231" s="159"/>
      <c r="G231" s="159"/>
      <c r="H231" s="159"/>
      <c r="I231" s="159"/>
      <c r="K231" s="172"/>
    </row>
    <row r="232" spans="5:11" x14ac:dyDescent="0.25">
      <c r="E232" s="159"/>
      <c r="F232" s="159"/>
      <c r="G232" s="159"/>
      <c r="H232" s="159"/>
      <c r="I232" s="159"/>
      <c r="K232" s="172"/>
    </row>
    <row r="233" spans="5:11" x14ac:dyDescent="0.25">
      <c r="E233" s="159"/>
      <c r="F233" s="159"/>
      <c r="G233" s="159"/>
      <c r="H233" s="159"/>
      <c r="I233" s="159"/>
      <c r="K233" s="172"/>
    </row>
    <row r="234" spans="5:11" x14ac:dyDescent="0.25">
      <c r="E234" s="159"/>
      <c r="F234" s="159"/>
      <c r="G234" s="159"/>
      <c r="H234" s="159"/>
      <c r="I234" s="159"/>
      <c r="K234" s="172"/>
    </row>
    <row r="235" spans="5:11" x14ac:dyDescent="0.25">
      <c r="E235" s="159"/>
      <c r="F235" s="159"/>
      <c r="G235" s="159"/>
      <c r="H235" s="159"/>
      <c r="I235" s="159"/>
      <c r="K235" s="172"/>
    </row>
    <row r="236" spans="5:11" x14ac:dyDescent="0.25">
      <c r="E236" s="159"/>
      <c r="F236" s="159"/>
      <c r="G236" s="159"/>
      <c r="H236" s="159"/>
      <c r="I236" s="159"/>
      <c r="K236" s="172"/>
    </row>
    <row r="237" spans="5:11" x14ac:dyDescent="0.25">
      <c r="E237" s="159"/>
      <c r="F237" s="159"/>
      <c r="G237" s="159"/>
      <c r="H237" s="159"/>
      <c r="I237" s="159"/>
      <c r="K237" s="172"/>
    </row>
    <row r="238" spans="5:11" x14ac:dyDescent="0.25">
      <c r="E238" s="159"/>
      <c r="F238" s="159"/>
      <c r="G238" s="159"/>
      <c r="H238" s="159"/>
      <c r="I238" s="159"/>
      <c r="K238" s="172"/>
    </row>
    <row r="239" spans="5:11" x14ac:dyDescent="0.25">
      <c r="E239" s="159"/>
      <c r="F239" s="159"/>
      <c r="G239" s="159"/>
      <c r="H239" s="159"/>
      <c r="I239" s="159"/>
      <c r="K239" s="172"/>
    </row>
    <row r="240" spans="5:11" x14ac:dyDescent="0.25">
      <c r="E240" s="159"/>
      <c r="F240" s="159"/>
      <c r="G240" s="159"/>
      <c r="H240" s="159"/>
      <c r="I240" s="159"/>
      <c r="K240" s="172"/>
    </row>
    <row r="241" spans="5:11" x14ac:dyDescent="0.25">
      <c r="E241" s="159"/>
      <c r="F241" s="159"/>
      <c r="G241" s="159"/>
      <c r="H241" s="159"/>
      <c r="I241" s="159"/>
      <c r="K241" s="172"/>
    </row>
    <row r="242" spans="5:11" x14ac:dyDescent="0.25">
      <c r="E242" s="159"/>
      <c r="F242" s="159"/>
      <c r="G242" s="159"/>
      <c r="H242" s="159"/>
      <c r="I242" s="159"/>
      <c r="K242" s="172"/>
    </row>
    <row r="243" spans="5:11" x14ac:dyDescent="0.25">
      <c r="E243" s="159"/>
      <c r="F243" s="159"/>
      <c r="G243" s="159"/>
      <c r="H243" s="159"/>
      <c r="I243" s="159"/>
      <c r="K243" s="172"/>
    </row>
    <row r="244" spans="5:11" x14ac:dyDescent="0.25">
      <c r="E244" s="159"/>
      <c r="F244" s="159"/>
      <c r="G244" s="159"/>
      <c r="H244" s="159"/>
      <c r="I244" s="159"/>
      <c r="K244" s="172"/>
    </row>
    <row r="245" spans="5:11" x14ac:dyDescent="0.25">
      <c r="E245" s="159"/>
      <c r="F245" s="159"/>
      <c r="G245" s="159"/>
      <c r="H245" s="159"/>
      <c r="I245" s="159"/>
      <c r="K245" s="172"/>
    </row>
    <row r="246" spans="5:11" x14ac:dyDescent="0.25">
      <c r="E246" s="159"/>
      <c r="F246" s="159"/>
      <c r="G246" s="159"/>
      <c r="H246" s="159"/>
      <c r="I246" s="159"/>
      <c r="K246" s="172"/>
    </row>
    <row r="247" spans="5:11" x14ac:dyDescent="0.25">
      <c r="E247" s="159"/>
      <c r="F247" s="159"/>
      <c r="G247" s="159"/>
      <c r="H247" s="159"/>
      <c r="I247" s="159"/>
    </row>
    <row r="248" spans="5:11" x14ac:dyDescent="0.25">
      <c r="E248" s="159"/>
      <c r="F248" s="159"/>
      <c r="G248" s="159"/>
      <c r="H248" s="159"/>
      <c r="I248" s="159"/>
    </row>
    <row r="249" spans="5:11" x14ac:dyDescent="0.25">
      <c r="E249" s="159"/>
      <c r="F249" s="159"/>
      <c r="G249" s="159"/>
      <c r="H249" s="159"/>
      <c r="I249" s="159"/>
    </row>
    <row r="250" spans="5:11" x14ac:dyDescent="0.25">
      <c r="E250" s="159"/>
      <c r="F250" s="159"/>
      <c r="G250" s="159"/>
      <c r="H250" s="159"/>
      <c r="I250" s="159"/>
    </row>
    <row r="251" spans="5:11" x14ac:dyDescent="0.25">
      <c r="E251" s="159"/>
      <c r="F251" s="159"/>
      <c r="G251" s="159"/>
      <c r="H251" s="159"/>
      <c r="I251" s="159"/>
    </row>
    <row r="252" spans="5:11" x14ac:dyDescent="0.25">
      <c r="E252" s="159"/>
      <c r="F252" s="159"/>
      <c r="G252" s="159"/>
      <c r="H252" s="159"/>
      <c r="I252" s="159"/>
    </row>
    <row r="253" spans="5:11" x14ac:dyDescent="0.25">
      <c r="E253" s="159"/>
      <c r="F253" s="159"/>
      <c r="G253" s="159"/>
      <c r="H253" s="159"/>
      <c r="I253" s="159"/>
    </row>
    <row r="254" spans="5:11" x14ac:dyDescent="0.25">
      <c r="E254" s="159"/>
      <c r="F254" s="159"/>
      <c r="G254" s="159"/>
      <c r="H254" s="159"/>
      <c r="I254" s="159"/>
    </row>
    <row r="255" spans="5:11" x14ac:dyDescent="0.25">
      <c r="E255" s="159"/>
      <c r="F255" s="159"/>
      <c r="G255" s="159"/>
      <c r="H255" s="159"/>
      <c r="I255" s="159"/>
    </row>
    <row r="256" spans="5:11" x14ac:dyDescent="0.25">
      <c r="E256" s="159"/>
      <c r="F256" s="159"/>
      <c r="G256" s="159"/>
      <c r="H256" s="159"/>
      <c r="I256" s="159"/>
    </row>
    <row r="257" spans="5:9" x14ac:dyDescent="0.25">
      <c r="E257" s="159"/>
      <c r="F257" s="159"/>
      <c r="G257" s="159"/>
      <c r="H257" s="159"/>
      <c r="I257" s="159"/>
    </row>
    <row r="258" spans="5:9" x14ac:dyDescent="0.25">
      <c r="E258" s="159"/>
      <c r="F258" s="159"/>
      <c r="G258" s="159"/>
      <c r="H258" s="159"/>
      <c r="I258" s="159"/>
    </row>
    <row r="259" spans="5:9" x14ac:dyDescent="0.25">
      <c r="E259" s="159"/>
      <c r="F259" s="159"/>
      <c r="G259" s="159"/>
      <c r="H259" s="159"/>
      <c r="I259" s="159"/>
    </row>
    <row r="260" spans="5:9" x14ac:dyDescent="0.25">
      <c r="E260" s="159"/>
      <c r="F260" s="159"/>
      <c r="G260" s="159"/>
      <c r="H260" s="159"/>
      <c r="I260" s="159"/>
    </row>
    <row r="261" spans="5:9" x14ac:dyDescent="0.25">
      <c r="E261" s="159"/>
      <c r="F261" s="159"/>
      <c r="G261" s="159"/>
      <c r="H261" s="159"/>
      <c r="I261" s="159"/>
    </row>
    <row r="262" spans="5:9" x14ac:dyDescent="0.25">
      <c r="E262" s="159"/>
      <c r="F262" s="159"/>
      <c r="G262" s="159"/>
      <c r="H262" s="159"/>
      <c r="I262" s="159"/>
    </row>
    <row r="263" spans="5:9" x14ac:dyDescent="0.25">
      <c r="E263" s="159"/>
      <c r="F263" s="159"/>
      <c r="G263" s="159"/>
      <c r="H263" s="159"/>
      <c r="I263" s="159"/>
    </row>
    <row r="264" spans="5:9" x14ac:dyDescent="0.25">
      <c r="E264" s="159"/>
      <c r="F264" s="159"/>
      <c r="G264" s="159"/>
      <c r="H264" s="159"/>
      <c r="I264" s="159"/>
    </row>
    <row r="265" spans="5:9" x14ac:dyDescent="0.25">
      <c r="E265" s="159"/>
      <c r="F265" s="159"/>
      <c r="G265" s="159"/>
      <c r="H265" s="159"/>
      <c r="I265" s="159"/>
    </row>
    <row r="266" spans="5:9" x14ac:dyDescent="0.25">
      <c r="E266" s="159"/>
      <c r="F266" s="159"/>
      <c r="G266" s="159"/>
      <c r="H266" s="159"/>
      <c r="I266" s="159"/>
    </row>
    <row r="267" spans="5:9" x14ac:dyDescent="0.25">
      <c r="E267" s="159"/>
      <c r="F267" s="159"/>
      <c r="G267" s="159"/>
      <c r="H267" s="159"/>
      <c r="I267" s="159"/>
    </row>
    <row r="268" spans="5:9" x14ac:dyDescent="0.25">
      <c r="E268" s="159"/>
      <c r="F268" s="159"/>
      <c r="G268" s="159"/>
      <c r="H268" s="159"/>
      <c r="I268" s="159"/>
    </row>
    <row r="269" spans="5:9" x14ac:dyDescent="0.25">
      <c r="E269" s="159"/>
      <c r="F269" s="159"/>
      <c r="G269" s="159"/>
      <c r="H269" s="159"/>
      <c r="I269" s="159"/>
    </row>
    <row r="270" spans="5:9" x14ac:dyDescent="0.25">
      <c r="E270" s="159"/>
      <c r="F270" s="159"/>
      <c r="G270" s="159"/>
      <c r="H270" s="159"/>
      <c r="I270" s="159"/>
    </row>
    <row r="271" spans="5:9" x14ac:dyDescent="0.25">
      <c r="E271" s="159"/>
      <c r="F271" s="159"/>
      <c r="G271" s="159"/>
      <c r="H271" s="159"/>
      <c r="I271" s="159"/>
    </row>
    <row r="272" spans="5:9" x14ac:dyDescent="0.25">
      <c r="E272" s="159"/>
      <c r="F272" s="159"/>
      <c r="G272" s="159"/>
      <c r="H272" s="159"/>
      <c r="I272" s="159"/>
    </row>
    <row r="273" spans="5:9" x14ac:dyDescent="0.25">
      <c r="E273" s="159"/>
      <c r="F273" s="159"/>
      <c r="G273" s="159"/>
      <c r="H273" s="159"/>
      <c r="I273" s="159"/>
    </row>
    <row r="274" spans="5:9" x14ac:dyDescent="0.25">
      <c r="E274" s="159"/>
      <c r="F274" s="159"/>
      <c r="G274" s="159"/>
      <c r="H274" s="159"/>
      <c r="I274" s="159"/>
    </row>
    <row r="275" spans="5:9" x14ac:dyDescent="0.25">
      <c r="E275" s="159"/>
      <c r="F275" s="159"/>
      <c r="G275" s="159"/>
      <c r="H275" s="159"/>
      <c r="I275" s="159"/>
    </row>
    <row r="276" spans="5:9" x14ac:dyDescent="0.25">
      <c r="E276" s="159"/>
      <c r="F276" s="159"/>
      <c r="G276" s="159"/>
      <c r="H276" s="159"/>
      <c r="I276" s="159"/>
    </row>
    <row r="277" spans="5:9" x14ac:dyDescent="0.25">
      <c r="E277" s="159"/>
      <c r="F277" s="159"/>
      <c r="G277" s="159"/>
      <c r="H277" s="159"/>
      <c r="I277" s="159"/>
    </row>
    <row r="278" spans="5:9" x14ac:dyDescent="0.25">
      <c r="E278" s="159"/>
      <c r="F278" s="159"/>
      <c r="G278" s="159"/>
      <c r="H278" s="159"/>
      <c r="I278" s="159"/>
    </row>
    <row r="279" spans="5:9" x14ac:dyDescent="0.25">
      <c r="E279" s="159"/>
      <c r="F279" s="159"/>
      <c r="G279" s="159"/>
      <c r="H279" s="159"/>
      <c r="I279" s="159"/>
    </row>
    <row r="280" spans="5:9" x14ac:dyDescent="0.25">
      <c r="E280" s="159"/>
      <c r="F280" s="159"/>
      <c r="G280" s="159"/>
      <c r="H280" s="159"/>
      <c r="I280" s="159"/>
    </row>
    <row r="281" spans="5:9" x14ac:dyDescent="0.25">
      <c r="E281" s="159"/>
      <c r="F281" s="159"/>
      <c r="G281" s="159"/>
      <c r="H281" s="159"/>
      <c r="I281" s="159"/>
    </row>
  </sheetData>
  <mergeCells count="26">
    <mergeCell ref="A4:D4"/>
    <mergeCell ref="B136:G136"/>
    <mergeCell ref="B139:C139"/>
    <mergeCell ref="B137:C137"/>
    <mergeCell ref="B138:C138"/>
    <mergeCell ref="B160:C160"/>
    <mergeCell ref="B145:C145"/>
    <mergeCell ref="B149:C149"/>
    <mergeCell ref="B142:C142"/>
    <mergeCell ref="B140:C140"/>
    <mergeCell ref="B146:C146"/>
    <mergeCell ref="B144:C144"/>
    <mergeCell ref="B141:C141"/>
    <mergeCell ref="B143:C143"/>
    <mergeCell ref="B147:C147"/>
    <mergeCell ref="B148:C148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B159:C159"/>
  </mergeCells>
  <printOptions horizontalCentered="1"/>
  <pageMargins left="0.45" right="0.45" top="0.75" bottom="0.75" header="0.3" footer="0.3"/>
  <pageSetup scale="65" fitToHeight="0" orientation="portrait" cellComments="asDisplayed" r:id="rId1"/>
  <rowBreaks count="2" manualBreakCount="2">
    <brk id="60" max="16383" man="1"/>
    <brk id="98" max="13" man="1"/>
  </rowBreaks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lessThan" id="{E055431F-EAB7-4D7D-9647-3A9E47488BBA}">
            <xm:f>Summary!$B$9-5%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2" operator="greaterThan" id="{8141465A-FF7E-4F60-B9DD-760D8C26334A}">
            <xm:f>Summary!$B$9+5%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K9:K15 K17:K46 K48:K60</xm:sqref>
        </x14:conditionalFormatting>
        <x14:conditionalFormatting xmlns:xm="http://schemas.microsoft.com/office/excel/2006/main">
          <x14:cfRule type="cellIs" priority="9" operator="lessThan" id="{BAF98277-CF8F-4DA3-9455-CDA9713842AE}">
            <xm:f>Summary!$B$9-5%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0" operator="greaterThan" id="{DFEFE1EC-2F34-4EAD-BB43-3E3E8F24D08B}">
            <xm:f>Summary!$B$9+5%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K64:K75 K77:K82 K84:K91 K93:K98 K100:K107 K109:K118 K120:K122 K124:K129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14"/>
  <sheetViews>
    <sheetView workbookViewId="0">
      <selection activeCell="F23" sqref="F23"/>
    </sheetView>
  </sheetViews>
  <sheetFormatPr defaultRowHeight="15" x14ac:dyDescent="0.25"/>
  <cols>
    <col min="2" max="2" width="22.5703125" bestFit="1" customWidth="1"/>
    <col min="3" max="3" width="7.7109375" bestFit="1" customWidth="1"/>
    <col min="4" max="4" width="12.28515625" bestFit="1" customWidth="1"/>
    <col min="5" max="6" width="7.42578125" bestFit="1" customWidth="1"/>
  </cols>
  <sheetData>
    <row r="2" spans="2:6" x14ac:dyDescent="0.25">
      <c r="B2" s="148" t="s">
        <v>184</v>
      </c>
      <c r="C2" s="247" t="s">
        <v>186</v>
      </c>
      <c r="D2" s="148">
        <f>600*6</f>
        <v>3600</v>
      </c>
      <c r="E2" s="148"/>
      <c r="F2" s="148"/>
    </row>
    <row r="3" spans="2:6" x14ac:dyDescent="0.25">
      <c r="B3" s="148" t="s">
        <v>185</v>
      </c>
      <c r="C3" s="148" t="s">
        <v>187</v>
      </c>
      <c r="D3" s="148">
        <f>15*600</f>
        <v>9000</v>
      </c>
      <c r="E3" s="148" t="s">
        <v>195</v>
      </c>
      <c r="F3" s="148"/>
    </row>
    <row r="4" spans="2:6" x14ac:dyDescent="0.25">
      <c r="B4" s="148"/>
      <c r="C4" s="148"/>
      <c r="D4" s="148"/>
      <c r="E4" s="148"/>
      <c r="F4" s="148"/>
    </row>
    <row r="5" spans="2:6" x14ac:dyDescent="0.25">
      <c r="B5" s="148" t="s">
        <v>188</v>
      </c>
      <c r="C5" s="148"/>
      <c r="D5" s="248">
        <v>2000</v>
      </c>
      <c r="E5" s="148">
        <v>10000</v>
      </c>
      <c r="F5" s="148" t="s">
        <v>195</v>
      </c>
    </row>
    <row r="6" spans="2:6" x14ac:dyDescent="0.25">
      <c r="B6" s="148" t="s">
        <v>189</v>
      </c>
      <c r="C6" s="148"/>
      <c r="D6" s="148">
        <f>1500*8</f>
        <v>12000</v>
      </c>
      <c r="E6" s="148"/>
      <c r="F6" s="148"/>
    </row>
    <row r="7" spans="2:6" x14ac:dyDescent="0.25">
      <c r="B7" s="148"/>
      <c r="C7" s="148"/>
      <c r="D7" s="148"/>
      <c r="E7" s="148"/>
      <c r="F7" s="148"/>
    </row>
    <row r="8" spans="2:6" x14ac:dyDescent="0.25">
      <c r="B8" s="148" t="s">
        <v>190</v>
      </c>
      <c r="C8" s="248">
        <v>8000</v>
      </c>
      <c r="D8" s="148" t="s">
        <v>194</v>
      </c>
      <c r="E8" s="148"/>
      <c r="F8" s="148"/>
    </row>
    <row r="9" spans="2:6" x14ac:dyDescent="0.25">
      <c r="B9" s="148" t="s">
        <v>192</v>
      </c>
      <c r="C9" s="148"/>
      <c r="D9" s="148"/>
      <c r="E9" s="148"/>
      <c r="F9" s="148"/>
    </row>
    <row r="10" spans="2:6" x14ac:dyDescent="0.25">
      <c r="B10" s="148" t="s">
        <v>191</v>
      </c>
      <c r="C10" s="248">
        <v>1000</v>
      </c>
      <c r="D10" s="148" t="s">
        <v>193</v>
      </c>
      <c r="E10" s="148"/>
      <c r="F10" s="148"/>
    </row>
    <row r="11" spans="2:6" x14ac:dyDescent="0.25">
      <c r="B11" s="148"/>
      <c r="C11" s="148"/>
      <c r="D11" s="148"/>
      <c r="E11" s="148"/>
      <c r="F11" s="148"/>
    </row>
    <row r="12" spans="2:6" x14ac:dyDescent="0.25">
      <c r="B12" s="148"/>
      <c r="C12" s="148"/>
      <c r="D12" s="148"/>
      <c r="E12" s="148"/>
      <c r="F12" s="148"/>
    </row>
    <row r="13" spans="2:6" x14ac:dyDescent="0.25">
      <c r="B13" s="148"/>
      <c r="C13" s="148"/>
      <c r="D13" s="148"/>
      <c r="E13" s="148">
        <v>27000</v>
      </c>
      <c r="F13" s="148"/>
    </row>
    <row r="14" spans="2:6" x14ac:dyDescent="0.25">
      <c r="B14" s="148"/>
      <c r="C14" s="148"/>
      <c r="D14" s="148"/>
      <c r="E14" s="148"/>
      <c r="F14" s="14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P22"/>
  <sheetViews>
    <sheetView workbookViewId="0">
      <selection activeCell="L3" sqref="L3"/>
    </sheetView>
  </sheetViews>
  <sheetFormatPr defaultRowHeight="15" x14ac:dyDescent="0.25"/>
  <cols>
    <col min="2" max="2" width="18.5703125" bestFit="1" customWidth="1"/>
    <col min="3" max="3" width="14.28515625" bestFit="1" customWidth="1"/>
  </cols>
  <sheetData>
    <row r="3" spans="2:16" x14ac:dyDescent="0.25">
      <c r="B3" s="219" t="s">
        <v>169</v>
      </c>
      <c r="C3" s="220">
        <v>168</v>
      </c>
    </row>
    <row r="4" spans="2:16" x14ac:dyDescent="0.25">
      <c r="B4" s="219" t="s">
        <v>170</v>
      </c>
      <c r="C4" s="220">
        <f>P21</f>
        <v>148.81833333333333</v>
      </c>
    </row>
    <row r="5" spans="2:16" x14ac:dyDescent="0.25">
      <c r="B5" s="219" t="s">
        <v>171</v>
      </c>
      <c r="C5" s="220">
        <v>168</v>
      </c>
    </row>
    <row r="6" spans="2:16" x14ac:dyDescent="0.25">
      <c r="B6" s="219" t="s">
        <v>172</v>
      </c>
      <c r="C6" s="223">
        <v>3311</v>
      </c>
    </row>
    <row r="7" spans="2:16" x14ac:dyDescent="0.25">
      <c r="B7" s="219"/>
      <c r="C7" s="215"/>
    </row>
    <row r="8" spans="2:16" x14ac:dyDescent="0.25">
      <c r="B8" s="219" t="s">
        <v>173</v>
      </c>
      <c r="C8" s="216">
        <f>C4*C6*C5/C3</f>
        <v>492737.50166666665</v>
      </c>
    </row>
    <row r="9" spans="2:16" ht="15.75" thickBot="1" x14ac:dyDescent="0.3"/>
    <row r="10" spans="2:16" ht="15.75" thickBot="1" x14ac:dyDescent="0.3">
      <c r="D10" s="2"/>
      <c r="E10" s="196" t="s">
        <v>134</v>
      </c>
      <c r="F10" s="197" t="s">
        <v>135</v>
      </c>
      <c r="G10" s="197" t="s">
        <v>136</v>
      </c>
      <c r="H10" s="197" t="s">
        <v>137</v>
      </c>
      <c r="I10" s="197" t="s">
        <v>132</v>
      </c>
      <c r="J10" s="197" t="s">
        <v>138</v>
      </c>
      <c r="K10" s="197" t="s">
        <v>139</v>
      </c>
      <c r="L10" s="197" t="s">
        <v>133</v>
      </c>
      <c r="M10" s="198" t="s">
        <v>139</v>
      </c>
      <c r="N10" s="197" t="s">
        <v>174</v>
      </c>
      <c r="O10" s="197" t="s">
        <v>175</v>
      </c>
      <c r="P10" s="198" t="s">
        <v>170</v>
      </c>
    </row>
    <row r="11" spans="2:16" x14ac:dyDescent="0.25">
      <c r="B11" t="s">
        <v>176</v>
      </c>
      <c r="C11">
        <v>150.03</v>
      </c>
      <c r="D11" s="11" t="s">
        <v>73</v>
      </c>
      <c r="E11" s="209">
        <v>20</v>
      </c>
      <c r="F11" s="116">
        <v>19</v>
      </c>
      <c r="G11" s="116">
        <v>20</v>
      </c>
      <c r="H11" s="116">
        <v>20</v>
      </c>
      <c r="I11" s="116">
        <v>20</v>
      </c>
      <c r="J11" s="116">
        <v>20</v>
      </c>
      <c r="K11" s="116"/>
      <c r="L11" s="116"/>
      <c r="M11" s="117"/>
      <c r="N11" s="221">
        <f>SUM(E11:J11)/6</f>
        <v>19.833333333333332</v>
      </c>
      <c r="O11">
        <v>0.55000000000000004</v>
      </c>
      <c r="P11">
        <f>N11*O11</f>
        <v>10.908333333333333</v>
      </c>
    </row>
    <row r="12" spans="2:16" x14ac:dyDescent="0.25">
      <c r="B12" t="s">
        <v>173</v>
      </c>
      <c r="C12" s="216">
        <f>C11*C6</f>
        <v>496749.33</v>
      </c>
      <c r="D12" s="11">
        <v>1</v>
      </c>
      <c r="E12" s="24">
        <v>20</v>
      </c>
      <c r="F12" s="118">
        <v>19</v>
      </c>
      <c r="G12" s="118">
        <v>19</v>
      </c>
      <c r="H12" s="118">
        <v>19</v>
      </c>
      <c r="I12" s="118">
        <v>19</v>
      </c>
      <c r="J12" s="118">
        <v>19</v>
      </c>
      <c r="K12" s="118"/>
      <c r="L12" s="118"/>
      <c r="M12" s="119"/>
      <c r="N12" s="221">
        <f t="shared" ref="N12:N18" si="0">SUM(E12:J12)/6</f>
        <v>19.166666666666668</v>
      </c>
      <c r="O12">
        <v>0.9</v>
      </c>
      <c r="P12">
        <f t="shared" ref="P12:P20" si="1">N12*O12</f>
        <v>17.25</v>
      </c>
    </row>
    <row r="13" spans="2:16" x14ac:dyDescent="0.25">
      <c r="D13" s="11">
        <v>2</v>
      </c>
      <c r="E13" s="24">
        <v>20</v>
      </c>
      <c r="F13" s="118">
        <v>19</v>
      </c>
      <c r="G13" s="118">
        <v>19</v>
      </c>
      <c r="H13" s="118">
        <v>19</v>
      </c>
      <c r="I13" s="118">
        <v>20</v>
      </c>
      <c r="J13" s="118">
        <v>19</v>
      </c>
      <c r="K13" s="118"/>
      <c r="L13" s="118"/>
      <c r="M13" s="119"/>
      <c r="N13" s="221">
        <f t="shared" si="0"/>
        <v>19.333333333333332</v>
      </c>
      <c r="O13">
        <v>0.9</v>
      </c>
      <c r="P13">
        <f t="shared" si="1"/>
        <v>17.399999999999999</v>
      </c>
    </row>
    <row r="14" spans="2:16" x14ac:dyDescent="0.25">
      <c r="D14" s="11">
        <v>3</v>
      </c>
      <c r="E14" s="24">
        <v>20</v>
      </c>
      <c r="F14" s="214">
        <v>19</v>
      </c>
      <c r="G14" s="118">
        <v>18</v>
      </c>
      <c r="H14" s="118">
        <v>18</v>
      </c>
      <c r="I14" s="118">
        <v>18</v>
      </c>
      <c r="J14" s="118">
        <v>19</v>
      </c>
      <c r="K14" s="118"/>
      <c r="L14" s="118"/>
      <c r="M14" s="119"/>
      <c r="N14" s="221">
        <f t="shared" si="0"/>
        <v>18.666666666666668</v>
      </c>
      <c r="O14">
        <v>0.9</v>
      </c>
      <c r="P14">
        <f t="shared" si="1"/>
        <v>16.8</v>
      </c>
    </row>
    <row r="15" spans="2:16" x14ac:dyDescent="0.25">
      <c r="D15" s="11">
        <v>4</v>
      </c>
      <c r="E15" s="24">
        <v>19</v>
      </c>
      <c r="F15" s="118">
        <v>19</v>
      </c>
      <c r="G15" s="118">
        <v>20</v>
      </c>
      <c r="H15" s="118">
        <v>20</v>
      </c>
      <c r="I15" s="118">
        <v>20</v>
      </c>
      <c r="J15" s="118">
        <v>20</v>
      </c>
      <c r="K15" s="118"/>
      <c r="L15" s="118"/>
      <c r="M15" s="119"/>
      <c r="N15" s="221">
        <f t="shared" si="0"/>
        <v>19.666666666666668</v>
      </c>
      <c r="O15">
        <v>0.9</v>
      </c>
      <c r="P15">
        <f t="shared" si="1"/>
        <v>17.700000000000003</v>
      </c>
    </row>
    <row r="16" spans="2:16" x14ac:dyDescent="0.25">
      <c r="D16" s="11">
        <v>5</v>
      </c>
      <c r="E16" s="24">
        <v>20</v>
      </c>
      <c r="F16" s="214">
        <v>20</v>
      </c>
      <c r="G16" s="118">
        <v>19</v>
      </c>
      <c r="H16" s="118">
        <v>19</v>
      </c>
      <c r="I16" s="118">
        <v>19</v>
      </c>
      <c r="J16" s="118">
        <v>19</v>
      </c>
      <c r="K16" s="118"/>
      <c r="L16" s="118"/>
      <c r="M16" s="119"/>
      <c r="N16" s="221">
        <f t="shared" si="0"/>
        <v>19.333333333333332</v>
      </c>
      <c r="O16">
        <v>0.9</v>
      </c>
      <c r="P16">
        <f t="shared" si="1"/>
        <v>17.399999999999999</v>
      </c>
    </row>
    <row r="17" spans="4:16" x14ac:dyDescent="0.25">
      <c r="D17" s="11">
        <v>6</v>
      </c>
      <c r="E17" s="24">
        <v>19</v>
      </c>
      <c r="F17" s="214">
        <v>18</v>
      </c>
      <c r="G17" s="186">
        <v>18</v>
      </c>
      <c r="H17" s="118">
        <v>18</v>
      </c>
      <c r="I17" s="118">
        <v>17</v>
      </c>
      <c r="J17" s="118">
        <v>17</v>
      </c>
      <c r="K17" s="118"/>
      <c r="L17" s="118"/>
      <c r="M17" s="119"/>
      <c r="N17" s="221">
        <f t="shared" si="0"/>
        <v>17.833333333333332</v>
      </c>
      <c r="O17">
        <v>0.9</v>
      </c>
      <c r="P17">
        <f t="shared" si="1"/>
        <v>16.05</v>
      </c>
    </row>
    <row r="18" spans="4:16" x14ac:dyDescent="0.25">
      <c r="D18" s="11">
        <v>7</v>
      </c>
      <c r="E18" s="24">
        <v>20</v>
      </c>
      <c r="F18" s="118">
        <v>20</v>
      </c>
      <c r="G18" s="118">
        <v>20</v>
      </c>
      <c r="H18" s="118">
        <v>20</v>
      </c>
      <c r="I18" s="118">
        <v>20</v>
      </c>
      <c r="J18" s="118">
        <v>20</v>
      </c>
      <c r="K18" s="118"/>
      <c r="L18" s="118"/>
      <c r="M18" s="119"/>
      <c r="N18" s="221">
        <f t="shared" si="0"/>
        <v>20</v>
      </c>
      <c r="O18">
        <v>0.99</v>
      </c>
      <c r="P18">
        <f t="shared" si="1"/>
        <v>19.8</v>
      </c>
    </row>
    <row r="19" spans="4:16" ht="15.75" thickBot="1" x14ac:dyDescent="0.3">
      <c r="D19" s="11">
        <v>8</v>
      </c>
      <c r="E19" s="208">
        <v>15</v>
      </c>
      <c r="F19" s="118">
        <v>15</v>
      </c>
      <c r="G19" s="118">
        <v>16</v>
      </c>
      <c r="H19" s="118">
        <v>16</v>
      </c>
      <c r="I19" s="118">
        <v>16</v>
      </c>
      <c r="J19" s="118">
        <v>16</v>
      </c>
      <c r="K19" s="118"/>
      <c r="L19" s="118"/>
      <c r="M19" s="119"/>
      <c r="N19" s="221">
        <f>SUM(E19:J19)/6</f>
        <v>15.666666666666666</v>
      </c>
      <c r="O19">
        <v>0.99</v>
      </c>
      <c r="P19">
        <f t="shared" si="1"/>
        <v>15.51</v>
      </c>
    </row>
    <row r="20" spans="4:16" ht="15.75" thickBot="1" x14ac:dyDescent="0.3">
      <c r="D20" s="123" t="s">
        <v>46</v>
      </c>
      <c r="E20" s="124">
        <f t="shared" ref="E20:M20" si="2">SUM(E11:E19)</f>
        <v>173</v>
      </c>
      <c r="F20" s="124">
        <f t="shared" si="2"/>
        <v>168</v>
      </c>
      <c r="G20" s="124">
        <f t="shared" si="2"/>
        <v>169</v>
      </c>
      <c r="H20" s="124">
        <f t="shared" si="2"/>
        <v>169</v>
      </c>
      <c r="I20" s="124">
        <f t="shared" si="2"/>
        <v>169</v>
      </c>
      <c r="J20" s="124">
        <f t="shared" si="2"/>
        <v>169</v>
      </c>
      <c r="K20" s="124">
        <f t="shared" si="2"/>
        <v>0</v>
      </c>
      <c r="L20" s="124">
        <f t="shared" si="2"/>
        <v>0</v>
      </c>
      <c r="M20" s="126">
        <f t="shared" si="2"/>
        <v>0</v>
      </c>
      <c r="N20" s="221"/>
      <c r="P20">
        <f t="shared" si="1"/>
        <v>0</v>
      </c>
    </row>
    <row r="21" spans="4:16" ht="15.75" thickBot="1" x14ac:dyDescent="0.3">
      <c r="P21" s="222">
        <f>SUM(P11:P20)</f>
        <v>148.81833333333333</v>
      </c>
    </row>
    <row r="22" spans="4:16" ht="15.75" thickTop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54"/>
  <sheetViews>
    <sheetView showGridLines="0" zoomScaleNormal="100" workbookViewId="0">
      <selection activeCell="S29" sqref="S29"/>
    </sheetView>
  </sheetViews>
  <sheetFormatPr defaultRowHeight="15" x14ac:dyDescent="0.25"/>
  <cols>
    <col min="1" max="1" width="2.28515625" customWidth="1"/>
    <col min="3" max="3" width="10.85546875" customWidth="1"/>
    <col min="4" max="4" width="12.7109375" bestFit="1" customWidth="1"/>
    <col min="6" max="6" width="10.7109375" customWidth="1"/>
    <col min="8" max="10" width="2.28515625" customWidth="1"/>
    <col min="11" max="11" width="23.7109375" customWidth="1"/>
    <col min="12" max="12" width="11.140625" customWidth="1"/>
    <col min="13" max="14" width="12.7109375" customWidth="1"/>
    <col min="15" max="15" width="11.140625" bestFit="1" customWidth="1"/>
    <col min="18" max="18" width="8.28515625" customWidth="1"/>
  </cols>
  <sheetData>
    <row r="1" spans="1:14" ht="15.75" thickTop="1" x14ac:dyDescent="0.25">
      <c r="A1" s="38"/>
      <c r="B1" s="40"/>
      <c r="C1" s="40"/>
      <c r="D1" s="40"/>
      <c r="E1" s="40"/>
      <c r="F1" s="40"/>
    </row>
    <row r="2" spans="1:14" ht="25.5" x14ac:dyDescent="0.35">
      <c r="A2" s="39"/>
      <c r="C2" s="37" t="s">
        <v>85</v>
      </c>
    </row>
    <row r="3" spans="1:14" ht="25.5" x14ac:dyDescent="0.35">
      <c r="A3" s="39"/>
      <c r="D3" s="37"/>
    </row>
    <row r="4" spans="1:14" x14ac:dyDescent="0.25">
      <c r="A4" s="39"/>
      <c r="I4" s="29"/>
    </row>
    <row r="5" spans="1:14" x14ac:dyDescent="0.25">
      <c r="A5" s="39"/>
      <c r="B5" s="86" t="s">
        <v>95</v>
      </c>
      <c r="C5" s="68"/>
      <c r="D5" s="67"/>
      <c r="I5" s="29"/>
      <c r="K5" s="86" t="s">
        <v>96</v>
      </c>
      <c r="L5" s="66"/>
      <c r="M5" s="66"/>
      <c r="N5" s="66"/>
    </row>
    <row r="6" spans="1:14" x14ac:dyDescent="0.25">
      <c r="A6" s="39"/>
      <c r="B6" t="s">
        <v>127</v>
      </c>
      <c r="C6" s="4">
        <v>4900</v>
      </c>
      <c r="I6" s="29"/>
      <c r="K6" t="s">
        <v>124</v>
      </c>
      <c r="M6" s="4">
        <v>5765</v>
      </c>
    </row>
    <row r="7" spans="1:14" x14ac:dyDescent="0.25">
      <c r="A7" s="39"/>
      <c r="B7" t="s">
        <v>86</v>
      </c>
      <c r="C7" s="4">
        <v>5706</v>
      </c>
      <c r="I7" s="29"/>
      <c r="K7" t="s">
        <v>88</v>
      </c>
      <c r="M7" s="4">
        <v>6931</v>
      </c>
    </row>
    <row r="8" spans="1:14" x14ac:dyDescent="0.25">
      <c r="A8" s="39"/>
      <c r="B8" t="s">
        <v>64</v>
      </c>
      <c r="C8" s="4">
        <v>5765</v>
      </c>
      <c r="I8" s="29"/>
      <c r="K8" t="s">
        <v>123</v>
      </c>
      <c r="M8" s="4">
        <v>17173</v>
      </c>
    </row>
    <row r="9" spans="1:14" x14ac:dyDescent="0.25">
      <c r="A9" s="39"/>
      <c r="B9" t="s">
        <v>65</v>
      </c>
      <c r="C9" s="4">
        <v>5812</v>
      </c>
      <c r="I9" s="29"/>
      <c r="K9" t="s">
        <v>125</v>
      </c>
      <c r="M9" s="4">
        <v>9489</v>
      </c>
    </row>
    <row r="10" spans="1:14" x14ac:dyDescent="0.25">
      <c r="A10" s="39"/>
      <c r="B10" t="s">
        <v>66</v>
      </c>
      <c r="C10" s="4">
        <v>5758</v>
      </c>
      <c r="I10" s="29"/>
      <c r="K10" t="s">
        <v>89</v>
      </c>
      <c r="M10" s="4">
        <v>6006</v>
      </c>
    </row>
    <row r="11" spans="1:14" x14ac:dyDescent="0.25">
      <c r="A11" s="39"/>
      <c r="B11" t="s">
        <v>67</v>
      </c>
      <c r="C11" s="4">
        <v>5702</v>
      </c>
      <c r="I11" s="29"/>
      <c r="K11" t="s">
        <v>91</v>
      </c>
      <c r="M11" s="4">
        <v>10259</v>
      </c>
    </row>
    <row r="12" spans="1:14" x14ac:dyDescent="0.25">
      <c r="I12" s="29"/>
    </row>
    <row r="13" spans="1:14" x14ac:dyDescent="0.25">
      <c r="B13" s="17" t="s">
        <v>122</v>
      </c>
      <c r="C13" s="17"/>
      <c r="I13" s="29"/>
      <c r="K13" s="85" t="s">
        <v>126</v>
      </c>
    </row>
    <row r="14" spans="1:14" x14ac:dyDescent="0.25">
      <c r="I14" s="29"/>
    </row>
    <row r="15" spans="1:14" x14ac:dyDescent="0.25">
      <c r="B15" s="29"/>
      <c r="C15" s="29"/>
      <c r="D15" s="29"/>
      <c r="E15" s="29"/>
      <c r="F15" s="29"/>
      <c r="G15" s="29"/>
      <c r="H15" s="29"/>
      <c r="I15" s="29"/>
    </row>
    <row r="16" spans="1:14" x14ac:dyDescent="0.25">
      <c r="I16" s="29"/>
    </row>
    <row r="17" spans="2:18" x14ac:dyDescent="0.25">
      <c r="B17" s="86" t="s">
        <v>97</v>
      </c>
      <c r="C17" s="67"/>
      <c r="D17" s="67"/>
      <c r="E17" s="67"/>
      <c r="F17" s="67"/>
      <c r="G17" s="67"/>
      <c r="I17" s="29"/>
    </row>
    <row r="18" spans="2:18" x14ac:dyDescent="0.25">
      <c r="C18" s="354" t="s">
        <v>99</v>
      </c>
      <c r="D18" s="354"/>
      <c r="E18" s="5" t="s">
        <v>74</v>
      </c>
      <c r="F18" s="69" t="s">
        <v>87</v>
      </c>
      <c r="I18" s="29"/>
    </row>
    <row r="19" spans="2:18" x14ac:dyDescent="0.25">
      <c r="B19" t="s">
        <v>90</v>
      </c>
      <c r="D19" s="4">
        <v>631000</v>
      </c>
      <c r="E19" s="5">
        <v>472</v>
      </c>
      <c r="F19" s="4">
        <f>D19/E19</f>
        <v>1336.8644067796611</v>
      </c>
      <c r="I19" s="29"/>
      <c r="J19" s="29"/>
      <c r="K19" s="29"/>
      <c r="L19" s="29"/>
      <c r="M19" s="29"/>
      <c r="N19" s="29"/>
      <c r="O19" s="29"/>
      <c r="P19" s="29"/>
      <c r="Q19" s="29"/>
      <c r="R19" s="29"/>
    </row>
    <row r="20" spans="2:18" x14ac:dyDescent="0.25">
      <c r="B20" t="s">
        <v>104</v>
      </c>
      <c r="D20" s="4">
        <v>649753</v>
      </c>
      <c r="E20" s="5">
        <v>378</v>
      </c>
      <c r="F20" s="4">
        <f t="shared" ref="F20:F26" si="0">D20/E20</f>
        <v>1718.9232804232804</v>
      </c>
      <c r="I20" s="70"/>
    </row>
    <row r="21" spans="2:18" x14ac:dyDescent="0.25">
      <c r="B21" t="s">
        <v>103</v>
      </c>
      <c r="D21" s="4">
        <v>819732</v>
      </c>
      <c r="E21" s="5">
        <v>1141</v>
      </c>
      <c r="F21" s="4">
        <f t="shared" si="0"/>
        <v>718.43295354951795</v>
      </c>
      <c r="I21" s="70"/>
      <c r="K21" s="86" t="s">
        <v>98</v>
      </c>
      <c r="L21" s="67"/>
      <c r="M21" s="67"/>
      <c r="N21" s="67"/>
      <c r="O21" s="67"/>
      <c r="P21" s="67"/>
      <c r="Q21" s="67"/>
    </row>
    <row r="22" spans="2:18" x14ac:dyDescent="0.25">
      <c r="B22" t="s">
        <v>101</v>
      </c>
      <c r="D22" s="4">
        <v>166465</v>
      </c>
      <c r="E22" s="5">
        <v>351</v>
      </c>
      <c r="F22" s="4">
        <f t="shared" si="0"/>
        <v>474.25925925925924</v>
      </c>
      <c r="I22" s="70"/>
      <c r="L22" s="354" t="s">
        <v>99</v>
      </c>
      <c r="M22" s="354"/>
      <c r="N22" s="5" t="s">
        <v>0</v>
      </c>
      <c r="O22" s="69" t="s">
        <v>107</v>
      </c>
    </row>
    <row r="23" spans="2:18" x14ac:dyDescent="0.25">
      <c r="B23" t="s">
        <v>102</v>
      </c>
      <c r="D23" s="4">
        <v>502000</v>
      </c>
      <c r="E23" s="5">
        <v>514</v>
      </c>
      <c r="F23" s="4">
        <f t="shared" si="0"/>
        <v>976.6536964980545</v>
      </c>
      <c r="I23" s="70"/>
      <c r="K23" t="s">
        <v>90</v>
      </c>
      <c r="M23" s="4">
        <v>631000</v>
      </c>
      <c r="N23" s="4">
        <v>2768758</v>
      </c>
      <c r="O23" s="72">
        <f>M23/N23</f>
        <v>0.22790001870874954</v>
      </c>
    </row>
    <row r="24" spans="2:18" x14ac:dyDescent="0.25">
      <c r="B24" t="s">
        <v>100</v>
      </c>
      <c r="D24" s="4">
        <v>693500</v>
      </c>
      <c r="E24" s="5">
        <v>550</v>
      </c>
      <c r="F24" s="4">
        <f t="shared" si="0"/>
        <v>1260.909090909091</v>
      </c>
      <c r="I24" s="70"/>
      <c r="K24" t="s">
        <v>104</v>
      </c>
      <c r="M24" s="4">
        <v>649753</v>
      </c>
      <c r="N24" s="4">
        <v>2786240</v>
      </c>
      <c r="O24" s="72">
        <f t="shared" ref="O24:O30" si="1">M24/N24</f>
        <v>0.23320065751694039</v>
      </c>
    </row>
    <row r="25" spans="2:18" x14ac:dyDescent="0.25">
      <c r="B25" t="s">
        <v>106</v>
      </c>
      <c r="D25" s="4">
        <v>380000</v>
      </c>
      <c r="E25" s="5">
        <v>304</v>
      </c>
      <c r="F25" s="4">
        <f t="shared" si="0"/>
        <v>1250</v>
      </c>
      <c r="I25" s="70"/>
      <c r="K25" t="s">
        <v>103</v>
      </c>
      <c r="M25" s="4">
        <v>819732</v>
      </c>
      <c r="N25" s="4">
        <v>6310420</v>
      </c>
      <c r="O25" s="72">
        <f t="shared" si="1"/>
        <v>0.1299013377873422</v>
      </c>
    </row>
    <row r="26" spans="2:18" x14ac:dyDescent="0.25">
      <c r="B26" t="s">
        <v>105</v>
      </c>
      <c r="D26" s="4">
        <v>620100</v>
      </c>
      <c r="E26" s="5">
        <v>451</v>
      </c>
      <c r="F26" s="4">
        <f t="shared" si="0"/>
        <v>1374.9445676274945</v>
      </c>
      <c r="I26" s="70"/>
      <c r="K26" t="s">
        <v>101</v>
      </c>
      <c r="M26" s="4">
        <v>166465</v>
      </c>
      <c r="N26" s="4">
        <v>1917615</v>
      </c>
      <c r="O26" s="72">
        <f t="shared" si="1"/>
        <v>8.6808353084430398E-2</v>
      </c>
    </row>
    <row r="27" spans="2:18" x14ac:dyDescent="0.25">
      <c r="D27" s="4"/>
      <c r="E27" s="5"/>
      <c r="F27" s="4"/>
      <c r="I27" s="70"/>
      <c r="K27" t="s">
        <v>102</v>
      </c>
      <c r="M27" s="4">
        <v>502000</v>
      </c>
      <c r="N27" s="4">
        <v>3251175</v>
      </c>
      <c r="O27" s="72">
        <f t="shared" si="1"/>
        <v>0.15440571485693633</v>
      </c>
    </row>
    <row r="28" spans="2:18" x14ac:dyDescent="0.25">
      <c r="D28" s="4"/>
      <c r="E28" s="5"/>
      <c r="F28" s="4"/>
      <c r="I28" s="70"/>
      <c r="K28" t="s">
        <v>100</v>
      </c>
      <c r="M28" s="4">
        <v>693500</v>
      </c>
      <c r="N28" s="4">
        <v>3075920</v>
      </c>
      <c r="O28" s="72">
        <f t="shared" si="1"/>
        <v>0.22546100028609325</v>
      </c>
    </row>
    <row r="29" spans="2:18" x14ac:dyDescent="0.25">
      <c r="D29" s="4"/>
      <c r="E29" s="5"/>
      <c r="F29" s="4"/>
      <c r="I29" s="70"/>
      <c r="K29" t="s">
        <v>106</v>
      </c>
      <c r="M29" s="4">
        <v>380000</v>
      </c>
      <c r="N29" s="4">
        <v>1561075</v>
      </c>
      <c r="O29" s="72">
        <f t="shared" si="1"/>
        <v>0.24342200086478868</v>
      </c>
    </row>
    <row r="30" spans="2:18" x14ac:dyDescent="0.25">
      <c r="I30" s="70"/>
      <c r="K30" t="s">
        <v>105</v>
      </c>
      <c r="M30" s="4">
        <v>620100</v>
      </c>
      <c r="N30" s="4">
        <v>3082150</v>
      </c>
      <c r="O30" s="72">
        <f t="shared" si="1"/>
        <v>0.20119072725208054</v>
      </c>
    </row>
    <row r="31" spans="2:18" x14ac:dyDescent="0.25">
      <c r="I31" s="70"/>
      <c r="M31" s="4"/>
      <c r="N31" s="4"/>
      <c r="O31" s="72"/>
    </row>
    <row r="32" spans="2:18" x14ac:dyDescent="0.25">
      <c r="I32" s="70"/>
      <c r="M32" s="4"/>
      <c r="N32" s="4"/>
      <c r="O32" s="72"/>
    </row>
    <row r="33" spans="6:18" x14ac:dyDescent="0.25">
      <c r="I33" s="70"/>
      <c r="M33" s="4"/>
      <c r="N33" s="4"/>
      <c r="O33" s="72"/>
    </row>
    <row r="34" spans="6:18" x14ac:dyDescent="0.25">
      <c r="I34" s="70"/>
    </row>
    <row r="35" spans="6:18" x14ac:dyDescent="0.25">
      <c r="I35" s="70"/>
    </row>
    <row r="36" spans="6:18" x14ac:dyDescent="0.25">
      <c r="I36" s="70"/>
    </row>
    <row r="37" spans="6:18" x14ac:dyDescent="0.25">
      <c r="I37" s="70"/>
    </row>
    <row r="38" spans="6:18" x14ac:dyDescent="0.25">
      <c r="I38" s="70"/>
    </row>
    <row r="39" spans="6:18" x14ac:dyDescent="0.25">
      <c r="I39" s="70"/>
    </row>
    <row r="40" spans="6:18" x14ac:dyDescent="0.25">
      <c r="I40" s="70"/>
    </row>
    <row r="41" spans="6:18" x14ac:dyDescent="0.25">
      <c r="I41" s="70"/>
      <c r="R41" s="26"/>
    </row>
    <row r="42" spans="6:18" x14ac:dyDescent="0.25">
      <c r="I42" s="70"/>
      <c r="R42" s="26"/>
    </row>
    <row r="43" spans="6:18" x14ac:dyDescent="0.25">
      <c r="I43" s="70"/>
      <c r="R43" s="26"/>
    </row>
    <row r="44" spans="6:18" x14ac:dyDescent="0.25">
      <c r="I44" s="70"/>
      <c r="R44" s="26"/>
    </row>
    <row r="45" spans="6:18" x14ac:dyDescent="0.25">
      <c r="I45" s="70"/>
      <c r="R45" s="26"/>
    </row>
    <row r="46" spans="6:18" x14ac:dyDescent="0.25">
      <c r="F46" s="44"/>
      <c r="I46" s="29"/>
      <c r="R46" s="26"/>
    </row>
    <row r="47" spans="6:18" x14ac:dyDescent="0.25">
      <c r="F47" s="44"/>
      <c r="P47" s="27" t="s">
        <v>92</v>
      </c>
      <c r="R47" s="26"/>
    </row>
    <row r="48" spans="6:18" ht="15.75" thickBot="1" x14ac:dyDescent="0.3">
      <c r="F48" s="44"/>
      <c r="N48" s="30"/>
      <c r="O48" s="30"/>
      <c r="P48" s="30"/>
      <c r="Q48" s="30"/>
      <c r="R48" s="41"/>
    </row>
    <row r="49" spans="6:6" ht="15.75" thickTop="1" x14ac:dyDescent="0.25">
      <c r="F49" s="44"/>
    </row>
    <row r="50" spans="6:6" x14ac:dyDescent="0.25">
      <c r="F50" s="44"/>
    </row>
    <row r="51" spans="6:6" x14ac:dyDescent="0.25">
      <c r="F51" s="44"/>
    </row>
    <row r="52" spans="6:6" x14ac:dyDescent="0.25">
      <c r="F52" s="44"/>
    </row>
    <row r="53" spans="6:6" x14ac:dyDescent="0.25">
      <c r="F53" s="44"/>
    </row>
    <row r="54" spans="6:6" x14ac:dyDescent="0.25">
      <c r="F54" s="44"/>
    </row>
  </sheetData>
  <mergeCells count="2">
    <mergeCell ref="L22:M22"/>
    <mergeCell ref="C18:D18"/>
  </mergeCells>
  <printOptions horizontalCentered="1"/>
  <pageMargins left="0.7" right="0.7" top="0.75" bottom="0.75" header="0.3" footer="0.3"/>
  <pageSetup scale="68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41"/>
  <sheetViews>
    <sheetView showGridLines="0" zoomScaleNormal="100" workbookViewId="0">
      <selection activeCell="T9" sqref="T9"/>
    </sheetView>
  </sheetViews>
  <sheetFormatPr defaultRowHeight="15" x14ac:dyDescent="0.25"/>
  <cols>
    <col min="1" max="1" width="2.28515625" customWidth="1"/>
    <col min="3" max="3" width="8.140625" customWidth="1"/>
    <col min="4" max="5" width="12.7109375" customWidth="1"/>
    <col min="6" max="6" width="11.7109375" customWidth="1"/>
    <col min="8" max="10" width="2.28515625" customWidth="1"/>
    <col min="11" max="11" width="23.7109375" customWidth="1"/>
    <col min="12" max="16" width="12.7109375" customWidth="1"/>
    <col min="17" max="17" width="9.140625" customWidth="1"/>
    <col min="18" max="18" width="14.140625" customWidth="1"/>
  </cols>
  <sheetData>
    <row r="1" spans="1:18" ht="15.75" thickTop="1" x14ac:dyDescent="0.25">
      <c r="A1" s="38"/>
      <c r="B1" s="40"/>
      <c r="C1" s="40"/>
      <c r="D1" s="40"/>
      <c r="E1" s="40"/>
      <c r="F1" s="40"/>
    </row>
    <row r="2" spans="1:18" ht="25.5" x14ac:dyDescent="0.35">
      <c r="A2" s="39"/>
      <c r="C2" s="37" t="s">
        <v>85</v>
      </c>
    </row>
    <row r="3" spans="1:18" ht="25.5" x14ac:dyDescent="0.35">
      <c r="A3" s="39"/>
      <c r="D3" s="37"/>
      <c r="I3" s="29"/>
    </row>
    <row r="4" spans="1:18" x14ac:dyDescent="0.25">
      <c r="A4" s="39"/>
      <c r="B4" s="86" t="s">
        <v>108</v>
      </c>
      <c r="C4" s="67"/>
      <c r="D4" s="67"/>
      <c r="E4" s="67"/>
      <c r="F4" s="67"/>
      <c r="G4" s="67"/>
      <c r="H4" s="67"/>
      <c r="I4" s="29"/>
      <c r="K4" s="86" t="s">
        <v>113</v>
      </c>
      <c r="L4" s="67"/>
      <c r="M4" s="67"/>
      <c r="N4" s="67"/>
      <c r="O4" s="67"/>
      <c r="P4" s="67"/>
      <c r="Q4" s="67"/>
      <c r="R4" s="67"/>
    </row>
    <row r="5" spans="1:18" x14ac:dyDescent="0.25">
      <c r="A5" s="39"/>
      <c r="D5" s="69" t="s">
        <v>109</v>
      </c>
      <c r="E5" s="6" t="s">
        <v>110</v>
      </c>
      <c r="F5" s="69" t="s">
        <v>111</v>
      </c>
      <c r="I5" s="29"/>
      <c r="L5" s="10" t="s">
        <v>0</v>
      </c>
      <c r="M5" s="10" t="s">
        <v>116</v>
      </c>
      <c r="N5" s="10" t="s">
        <v>10</v>
      </c>
      <c r="O5" s="10" t="s">
        <v>117</v>
      </c>
      <c r="P5" s="10" t="s">
        <v>118</v>
      </c>
      <c r="Q5" s="10" t="s">
        <v>120</v>
      </c>
      <c r="R5" s="87" t="s">
        <v>121</v>
      </c>
    </row>
    <row r="6" spans="1:18" x14ac:dyDescent="0.25">
      <c r="A6" s="39"/>
      <c r="B6" t="s">
        <v>90</v>
      </c>
      <c r="D6" s="12">
        <v>1352400</v>
      </c>
      <c r="E6" s="12">
        <v>2797250</v>
      </c>
      <c r="F6" s="72">
        <f>D6/E6</f>
        <v>0.48347484136205199</v>
      </c>
      <c r="I6" s="29"/>
      <c r="K6" t="s">
        <v>90</v>
      </c>
      <c r="L6" s="4">
        <v>2768752</v>
      </c>
      <c r="M6" s="4">
        <v>1253400</v>
      </c>
      <c r="N6" s="4">
        <v>311385</v>
      </c>
      <c r="O6" s="4">
        <v>631000</v>
      </c>
      <c r="P6" s="4">
        <f>L6-(M6+N6+O6)</f>
        <v>572967</v>
      </c>
      <c r="Q6" s="5">
        <v>472</v>
      </c>
      <c r="R6" s="4">
        <f>P6/Q6</f>
        <v>1213.9131355932204</v>
      </c>
    </row>
    <row r="7" spans="1:18" x14ac:dyDescent="0.25">
      <c r="A7" s="39"/>
      <c r="B7" t="s">
        <v>104</v>
      </c>
      <c r="D7" s="12">
        <v>1381761</v>
      </c>
      <c r="E7" s="12">
        <v>2795800</v>
      </c>
      <c r="F7" s="72">
        <f t="shared" ref="F7:F13" si="0">D7/E7</f>
        <v>0.4942274125473925</v>
      </c>
      <c r="I7" s="29"/>
      <c r="K7" t="s">
        <v>104</v>
      </c>
      <c r="L7" s="4">
        <v>2786240</v>
      </c>
      <c r="M7" s="4">
        <v>1265760</v>
      </c>
      <c r="N7" s="4">
        <v>277819</v>
      </c>
      <c r="O7" s="4">
        <v>649753</v>
      </c>
      <c r="P7" s="4">
        <f t="shared" ref="P7:P13" si="1">L7-(M7+N7+O7)</f>
        <v>592908</v>
      </c>
      <c r="Q7" s="5">
        <v>378</v>
      </c>
      <c r="R7" s="4">
        <f t="shared" ref="R7:R13" si="2">P7/Q7</f>
        <v>1568.5396825396826</v>
      </c>
    </row>
    <row r="8" spans="1:18" x14ac:dyDescent="0.25">
      <c r="A8" s="39"/>
      <c r="B8" t="s">
        <v>103</v>
      </c>
      <c r="D8" s="12">
        <v>3093560</v>
      </c>
      <c r="E8" s="12">
        <v>6385420</v>
      </c>
      <c r="F8" s="72">
        <f t="shared" si="0"/>
        <v>0.48447243877458335</v>
      </c>
      <c r="I8" s="29"/>
      <c r="K8" t="s">
        <v>103</v>
      </c>
      <c r="L8" s="4">
        <v>6310420</v>
      </c>
      <c r="M8" s="4">
        <v>2954354</v>
      </c>
      <c r="N8" s="4">
        <v>893445</v>
      </c>
      <c r="O8" s="4">
        <v>819732</v>
      </c>
      <c r="P8" s="4">
        <f t="shared" si="1"/>
        <v>1642889</v>
      </c>
      <c r="Q8" s="5">
        <v>1141</v>
      </c>
      <c r="R8" s="4">
        <f t="shared" si="2"/>
        <v>1439.8676599474145</v>
      </c>
    </row>
    <row r="9" spans="1:18" x14ac:dyDescent="0.25">
      <c r="A9" s="39"/>
      <c r="B9" t="s">
        <v>101</v>
      </c>
      <c r="D9" s="12">
        <v>1135540</v>
      </c>
      <c r="E9" s="12">
        <v>1872040</v>
      </c>
      <c r="F9" s="72">
        <f t="shared" si="0"/>
        <v>0.60657891925386209</v>
      </c>
      <c r="I9" s="29"/>
      <c r="K9" t="s">
        <v>101</v>
      </c>
      <c r="L9" s="4">
        <v>1917615</v>
      </c>
      <c r="M9" s="4">
        <v>1011480</v>
      </c>
      <c r="N9" s="4">
        <v>305220</v>
      </c>
      <c r="O9" s="4">
        <v>166465</v>
      </c>
      <c r="P9" s="4">
        <f t="shared" si="1"/>
        <v>434450</v>
      </c>
      <c r="Q9" s="5">
        <v>351</v>
      </c>
      <c r="R9" s="4">
        <f t="shared" si="2"/>
        <v>1237.7492877492878</v>
      </c>
    </row>
    <row r="10" spans="1:18" x14ac:dyDescent="0.25">
      <c r="A10" s="39"/>
      <c r="B10" t="s">
        <v>102</v>
      </c>
      <c r="D10" s="12">
        <v>1641225</v>
      </c>
      <c r="E10" s="12">
        <v>3120460</v>
      </c>
      <c r="F10" s="72">
        <f t="shared" si="0"/>
        <v>0.5259561090352064</v>
      </c>
      <c r="I10" s="29"/>
      <c r="K10" t="s">
        <v>102</v>
      </c>
      <c r="L10" s="4">
        <v>3251175</v>
      </c>
      <c r="M10" s="4">
        <v>1442225</v>
      </c>
      <c r="N10" s="4">
        <v>403275</v>
      </c>
      <c r="O10" s="4">
        <v>502000</v>
      </c>
      <c r="P10" s="4">
        <f t="shared" si="1"/>
        <v>903675</v>
      </c>
      <c r="Q10" s="5">
        <v>514</v>
      </c>
      <c r="R10" s="4">
        <f t="shared" si="2"/>
        <v>1758.1225680933853</v>
      </c>
    </row>
    <row r="11" spans="1:18" x14ac:dyDescent="0.25">
      <c r="B11" t="s">
        <v>100</v>
      </c>
      <c r="D11" s="12">
        <v>1533460</v>
      </c>
      <c r="E11" s="12">
        <v>3096650</v>
      </c>
      <c r="F11" s="72">
        <f t="shared" si="0"/>
        <v>0.49519965123601312</v>
      </c>
      <c r="I11" s="29"/>
      <c r="K11" t="s">
        <v>100</v>
      </c>
      <c r="L11" s="4">
        <v>3075920</v>
      </c>
      <c r="M11" s="4">
        <v>1369760</v>
      </c>
      <c r="N11" s="4">
        <v>401945</v>
      </c>
      <c r="O11" s="4">
        <v>693500</v>
      </c>
      <c r="P11" s="4">
        <f t="shared" si="1"/>
        <v>610715</v>
      </c>
      <c r="Q11" s="5">
        <v>550</v>
      </c>
      <c r="R11" s="4">
        <f t="shared" si="2"/>
        <v>1110.3909090909092</v>
      </c>
    </row>
    <row r="12" spans="1:18" x14ac:dyDescent="0.25">
      <c r="B12" t="s">
        <v>106</v>
      </c>
      <c r="D12" s="12">
        <v>985430</v>
      </c>
      <c r="E12" s="12">
        <v>1784595</v>
      </c>
      <c r="F12" s="72">
        <f t="shared" si="0"/>
        <v>0.55218691075566162</v>
      </c>
      <c r="I12" s="29"/>
      <c r="K12" t="s">
        <v>106</v>
      </c>
      <c r="L12" s="4">
        <v>1561075</v>
      </c>
      <c r="M12" s="4">
        <v>850930</v>
      </c>
      <c r="N12" s="4">
        <v>141525</v>
      </c>
      <c r="O12" s="4">
        <v>380000</v>
      </c>
      <c r="P12" s="4">
        <f t="shared" si="1"/>
        <v>188620</v>
      </c>
      <c r="Q12" s="5">
        <v>304</v>
      </c>
      <c r="R12" s="4">
        <f t="shared" si="2"/>
        <v>620.46052631578948</v>
      </c>
    </row>
    <row r="13" spans="1:18" x14ac:dyDescent="0.25">
      <c r="B13" t="s">
        <v>105</v>
      </c>
      <c r="D13" s="12">
        <v>1538410</v>
      </c>
      <c r="E13" s="12">
        <v>2894175</v>
      </c>
      <c r="F13" s="72">
        <f t="shared" si="0"/>
        <v>0.53155389705183687</v>
      </c>
      <c r="I13" s="29"/>
      <c r="K13" t="s">
        <v>105</v>
      </c>
      <c r="L13" s="4">
        <v>3082150</v>
      </c>
      <c r="M13" s="4">
        <v>1080520</v>
      </c>
      <c r="N13" s="4">
        <v>309525</v>
      </c>
      <c r="O13" s="4">
        <v>620100</v>
      </c>
      <c r="P13" s="4">
        <f t="shared" si="1"/>
        <v>1072005</v>
      </c>
      <c r="Q13" s="5">
        <v>451</v>
      </c>
      <c r="R13" s="4">
        <f t="shared" si="2"/>
        <v>2376.9512195121952</v>
      </c>
    </row>
    <row r="14" spans="1:18" x14ac:dyDescent="0.25">
      <c r="I14" s="29"/>
    </row>
    <row r="15" spans="1:18" x14ac:dyDescent="0.25">
      <c r="F15" s="44"/>
      <c r="I15" s="29"/>
    </row>
    <row r="16" spans="1:18" x14ac:dyDescent="0.25">
      <c r="I16" s="29"/>
    </row>
    <row r="17" spans="2:18" x14ac:dyDescent="0.25">
      <c r="I17" s="29"/>
    </row>
    <row r="18" spans="2:18" x14ac:dyDescent="0.25">
      <c r="I18" s="29"/>
    </row>
    <row r="19" spans="2:18" x14ac:dyDescent="0.25">
      <c r="I19" s="29"/>
    </row>
    <row r="20" spans="2:18" x14ac:dyDescent="0.25">
      <c r="I20" s="29"/>
    </row>
    <row r="21" spans="2:18" x14ac:dyDescent="0.25">
      <c r="I21" s="29"/>
    </row>
    <row r="22" spans="2:18" x14ac:dyDescent="0.25">
      <c r="I22" s="29"/>
    </row>
    <row r="23" spans="2:18" x14ac:dyDescent="0.25">
      <c r="I23" s="29"/>
    </row>
    <row r="24" spans="2:18" x14ac:dyDescent="0.25">
      <c r="I24" s="29"/>
    </row>
    <row r="25" spans="2:18" x14ac:dyDescent="0.25">
      <c r="I25" s="29"/>
    </row>
    <row r="26" spans="2:18" x14ac:dyDescent="0.25">
      <c r="I26" s="29"/>
    </row>
    <row r="27" spans="2:18" x14ac:dyDescent="0.25">
      <c r="I27" s="29"/>
    </row>
    <row r="28" spans="2:18" x14ac:dyDescent="0.25">
      <c r="B28" s="29"/>
      <c r="C28" s="29"/>
      <c r="D28" s="29"/>
      <c r="E28" s="29"/>
      <c r="F28" s="29"/>
      <c r="G28" s="29"/>
      <c r="H28" s="29"/>
      <c r="I28" s="29"/>
    </row>
    <row r="29" spans="2:18" x14ac:dyDescent="0.25">
      <c r="I29" s="29"/>
    </row>
    <row r="30" spans="2:18" x14ac:dyDescent="0.25">
      <c r="B30" s="86" t="s">
        <v>112</v>
      </c>
      <c r="C30" s="67"/>
      <c r="D30" s="67"/>
      <c r="E30" s="67"/>
      <c r="F30" s="73"/>
      <c r="G30" s="67"/>
      <c r="I30" s="29"/>
      <c r="R30" s="26"/>
    </row>
    <row r="31" spans="2:18" x14ac:dyDescent="0.25">
      <c r="D31" s="5" t="s">
        <v>114</v>
      </c>
      <c r="E31" s="71" t="s">
        <v>115</v>
      </c>
      <c r="F31" s="69" t="s">
        <v>119</v>
      </c>
      <c r="I31" s="29"/>
      <c r="R31" s="26"/>
    </row>
    <row r="32" spans="2:18" x14ac:dyDescent="0.25">
      <c r="B32" s="8" t="s">
        <v>90</v>
      </c>
      <c r="C32" s="8"/>
      <c r="D32" s="76"/>
      <c r="E32" s="76">
        <v>7.0000000000000007E-2</v>
      </c>
      <c r="F32" s="76"/>
      <c r="I32" s="29"/>
      <c r="R32" s="26"/>
    </row>
    <row r="33" spans="2:18" x14ac:dyDescent="0.25">
      <c r="B33" t="s">
        <v>104</v>
      </c>
      <c r="D33" s="74">
        <v>0.05</v>
      </c>
      <c r="E33" s="74"/>
      <c r="F33" s="74"/>
      <c r="I33" s="29"/>
      <c r="L33" s="1"/>
      <c r="R33" s="26"/>
    </row>
    <row r="34" spans="2:18" x14ac:dyDescent="0.25">
      <c r="B34" s="8" t="s">
        <v>103</v>
      </c>
      <c r="C34" s="8"/>
      <c r="D34" s="77"/>
      <c r="E34" s="77">
        <v>4.4999999999999998E-2</v>
      </c>
      <c r="F34" s="77"/>
      <c r="I34" s="29"/>
      <c r="L34" s="1"/>
      <c r="R34" s="26"/>
    </row>
    <row r="35" spans="2:18" x14ac:dyDescent="0.25">
      <c r="B35" t="s">
        <v>101</v>
      </c>
      <c r="D35" s="74"/>
      <c r="E35" s="74">
        <v>0.05</v>
      </c>
      <c r="F35" s="74"/>
      <c r="I35" s="29"/>
      <c r="L35" s="1"/>
      <c r="R35" s="26"/>
    </row>
    <row r="36" spans="2:18" x14ac:dyDescent="0.25">
      <c r="B36" s="8" t="s">
        <v>102</v>
      </c>
      <c r="C36" s="8"/>
      <c r="D36" s="77"/>
      <c r="E36" s="77">
        <v>7.0000000000000007E-2</v>
      </c>
      <c r="F36" s="77"/>
      <c r="I36" s="29"/>
      <c r="L36" s="1"/>
      <c r="R36" s="26"/>
    </row>
    <row r="37" spans="2:18" x14ac:dyDescent="0.25">
      <c r="B37" t="s">
        <v>100</v>
      </c>
      <c r="D37" s="74"/>
      <c r="E37" s="74">
        <v>1.4999999999999999E-2</v>
      </c>
      <c r="F37" s="74">
        <v>0.16400000000000001</v>
      </c>
      <c r="I37" s="29"/>
      <c r="L37" s="1"/>
      <c r="R37" s="26"/>
    </row>
    <row r="38" spans="2:18" x14ac:dyDescent="0.25">
      <c r="B38" s="8" t="s">
        <v>106</v>
      </c>
      <c r="C38" s="8"/>
      <c r="D38" s="77"/>
      <c r="E38" s="77">
        <v>7.0000000000000007E-2</v>
      </c>
      <c r="F38" s="77"/>
      <c r="I38" s="29"/>
      <c r="L38" s="1"/>
      <c r="R38" s="26"/>
    </row>
    <row r="39" spans="2:18" x14ac:dyDescent="0.25">
      <c r="B39" t="s">
        <v>105</v>
      </c>
      <c r="D39" s="75">
        <v>0.02</v>
      </c>
      <c r="E39" s="75">
        <v>0.03</v>
      </c>
      <c r="F39" s="75"/>
      <c r="I39" s="29"/>
      <c r="P39" s="27" t="s">
        <v>92</v>
      </c>
      <c r="R39" s="26"/>
    </row>
    <row r="40" spans="2:18" ht="15.75" thickBot="1" x14ac:dyDescent="0.3">
      <c r="O40" s="30"/>
      <c r="P40" s="30"/>
      <c r="Q40" s="30"/>
      <c r="R40" s="41"/>
    </row>
    <row r="41" spans="2:18" ht="15.75" thickTop="1" x14ac:dyDescent="0.25"/>
  </sheetData>
  <printOptions horizontalCentered="1"/>
  <pageMargins left="0.7" right="0.7" top="1" bottom="0.75" header="0.3" footer="0.3"/>
  <pageSetup scale="6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43"/>
  <sheetViews>
    <sheetView showGridLines="0" workbookViewId="0">
      <selection activeCell="O24" sqref="O24"/>
    </sheetView>
  </sheetViews>
  <sheetFormatPr defaultRowHeight="15" x14ac:dyDescent="0.25"/>
  <cols>
    <col min="1" max="1" width="2.7109375" customWidth="1"/>
    <col min="2" max="15" width="10.7109375" customWidth="1"/>
  </cols>
  <sheetData>
    <row r="1" spans="1:15" ht="15.75" thickTop="1" x14ac:dyDescent="0.25">
      <c r="A1" s="38"/>
      <c r="B1" s="40"/>
      <c r="C1" s="40"/>
      <c r="D1" s="40"/>
      <c r="E1" s="40"/>
    </row>
    <row r="2" spans="1:15" ht="25.5" x14ac:dyDescent="0.35">
      <c r="A2" s="39"/>
      <c r="C2" s="37" t="s">
        <v>47</v>
      </c>
    </row>
    <row r="3" spans="1:15" x14ac:dyDescent="0.25">
      <c r="A3" s="39"/>
    </row>
    <row r="4" spans="1:15" x14ac:dyDescent="0.25">
      <c r="A4" s="39"/>
    </row>
    <row r="5" spans="1:15" ht="15.75" thickBot="1" x14ac:dyDescent="0.3">
      <c r="A5" s="39"/>
      <c r="D5" s="22" t="s">
        <v>49</v>
      </c>
      <c r="E5" s="20" t="s">
        <v>50</v>
      </c>
      <c r="F5" s="20" t="s">
        <v>51</v>
      </c>
      <c r="G5" s="20" t="s">
        <v>52</v>
      </c>
      <c r="H5" s="20" t="s">
        <v>53</v>
      </c>
      <c r="I5" s="20" t="s">
        <v>54</v>
      </c>
      <c r="J5" s="20" t="s">
        <v>55</v>
      </c>
      <c r="K5" s="20" t="s">
        <v>56</v>
      </c>
      <c r="L5" s="20" t="s">
        <v>57</v>
      </c>
      <c r="M5" s="20" t="s">
        <v>58</v>
      </c>
      <c r="N5" s="20" t="s">
        <v>59</v>
      </c>
      <c r="O5" s="21" t="s">
        <v>60</v>
      </c>
    </row>
    <row r="6" spans="1:15" x14ac:dyDescent="0.25">
      <c r="A6" s="39"/>
      <c r="B6" s="13" t="s">
        <v>70</v>
      </c>
      <c r="C6" s="13"/>
      <c r="D6" s="19">
        <v>0</v>
      </c>
      <c r="E6" s="19">
        <v>8871</v>
      </c>
      <c r="F6" s="88"/>
      <c r="G6" s="88"/>
      <c r="H6" s="88"/>
      <c r="I6" s="88"/>
      <c r="J6" s="88"/>
      <c r="K6" s="88"/>
      <c r="L6" s="88"/>
      <c r="M6" s="19"/>
      <c r="N6" s="19"/>
      <c r="O6" s="19"/>
    </row>
    <row r="7" spans="1:15" x14ac:dyDescent="0.25">
      <c r="A7" s="39"/>
      <c r="B7" t="s">
        <v>71</v>
      </c>
      <c r="C7" s="13"/>
      <c r="D7" s="7">
        <v>0</v>
      </c>
      <c r="E7" s="7">
        <v>163000</v>
      </c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x14ac:dyDescent="0.25">
      <c r="A8" s="39"/>
      <c r="B8" t="s">
        <v>68</v>
      </c>
      <c r="D8" s="7">
        <v>60000</v>
      </c>
      <c r="E8" s="7">
        <v>0</v>
      </c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5.75" thickBot="1" x14ac:dyDescent="0.3">
      <c r="A9" s="39"/>
      <c r="B9" t="s">
        <v>46</v>
      </c>
      <c r="D9" s="23">
        <f>SUM(D6:D8)</f>
        <v>60000</v>
      </c>
      <c r="E9" s="23">
        <f>SUM(E6:E8)</f>
        <v>171871</v>
      </c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1:15" ht="15.75" thickTop="1" x14ac:dyDescent="0.25">
      <c r="A10" s="39"/>
      <c r="B10" t="s">
        <v>72</v>
      </c>
      <c r="C10" s="13"/>
      <c r="D10" s="7">
        <v>51129</v>
      </c>
      <c r="E10" s="7">
        <v>200421</v>
      </c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x14ac:dyDescent="0.25">
      <c r="B11" t="s">
        <v>68</v>
      </c>
      <c r="D11" s="7">
        <v>0</v>
      </c>
      <c r="E11" s="7">
        <v>10000</v>
      </c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ht="15.75" thickBot="1" x14ac:dyDescent="0.3">
      <c r="B12" t="s">
        <v>46</v>
      </c>
      <c r="D12" s="23">
        <f>SUM(D10:D11)</f>
        <v>51129</v>
      </c>
      <c r="E12" s="23">
        <f>SUM(E10:E11)</f>
        <v>210421</v>
      </c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5" ht="15.75" thickTop="1" x14ac:dyDescent="0.25">
      <c r="B13" s="13" t="s">
        <v>69</v>
      </c>
      <c r="C13" s="13"/>
      <c r="D13" s="19">
        <f>D9-D12</f>
        <v>8871</v>
      </c>
      <c r="E13" s="88">
        <f>E9-E12</f>
        <v>-38550</v>
      </c>
      <c r="F13" s="88"/>
      <c r="G13" s="88"/>
      <c r="H13" s="88"/>
      <c r="I13" s="88"/>
      <c r="J13" s="88"/>
      <c r="K13" s="88"/>
      <c r="L13" s="19"/>
      <c r="M13" s="19"/>
      <c r="N13" s="19"/>
      <c r="O13" s="19"/>
    </row>
    <row r="16" spans="1:15" x14ac:dyDescent="0.25">
      <c r="C16" s="355" t="s">
        <v>63</v>
      </c>
      <c r="D16" s="355"/>
      <c r="M16" s="11"/>
    </row>
    <row r="17" spans="2:15" x14ac:dyDescent="0.25">
      <c r="C17" s="15" t="s">
        <v>61</v>
      </c>
      <c r="D17" s="15" t="s">
        <v>62</v>
      </c>
    </row>
    <row r="18" spans="2:15" x14ac:dyDescent="0.25">
      <c r="B18" s="16" t="s">
        <v>49</v>
      </c>
      <c r="C18" s="14">
        <v>172518</v>
      </c>
      <c r="D18" s="14">
        <v>33609</v>
      </c>
    </row>
    <row r="19" spans="2:15" x14ac:dyDescent="0.25">
      <c r="B19" s="16" t="s">
        <v>50</v>
      </c>
      <c r="C19" s="14">
        <v>232849</v>
      </c>
      <c r="D19" s="14">
        <v>44672</v>
      </c>
    </row>
    <row r="20" spans="2:15" x14ac:dyDescent="0.25">
      <c r="B20" s="16" t="s">
        <v>51</v>
      </c>
      <c r="C20" s="14">
        <v>212816</v>
      </c>
      <c r="D20" s="14">
        <v>27018</v>
      </c>
    </row>
    <row r="21" spans="2:15" x14ac:dyDescent="0.25">
      <c r="B21" s="16" t="s">
        <v>52</v>
      </c>
      <c r="C21" s="14">
        <v>205698</v>
      </c>
      <c r="D21" s="14">
        <v>4227</v>
      </c>
    </row>
    <row r="22" spans="2:15" x14ac:dyDescent="0.25">
      <c r="B22" s="16" t="s">
        <v>53</v>
      </c>
      <c r="C22" s="14">
        <v>270827</v>
      </c>
      <c r="D22" s="14">
        <v>55625</v>
      </c>
    </row>
    <row r="23" spans="2:15" x14ac:dyDescent="0.25">
      <c r="B23" s="16" t="s">
        <v>54</v>
      </c>
      <c r="C23" s="14">
        <v>329397</v>
      </c>
      <c r="D23" s="14">
        <v>100536</v>
      </c>
    </row>
    <row r="24" spans="2:15" x14ac:dyDescent="0.25">
      <c r="B24" s="16" t="s">
        <v>55</v>
      </c>
      <c r="C24" s="14">
        <v>338437</v>
      </c>
      <c r="D24" s="14">
        <v>166243</v>
      </c>
    </row>
    <row r="25" spans="2:15" x14ac:dyDescent="0.25">
      <c r="B25" s="16" t="s">
        <v>56</v>
      </c>
      <c r="C25" s="14">
        <v>356762</v>
      </c>
      <c r="D25" s="14">
        <v>181507</v>
      </c>
    </row>
    <row r="26" spans="2:15" x14ac:dyDescent="0.25">
      <c r="B26" s="16" t="s">
        <v>57</v>
      </c>
      <c r="C26" s="14">
        <v>385164</v>
      </c>
      <c r="D26" s="14">
        <v>213097</v>
      </c>
    </row>
    <row r="27" spans="2:15" x14ac:dyDescent="0.25">
      <c r="B27" s="16" t="s">
        <v>58</v>
      </c>
      <c r="C27" s="14">
        <v>391625</v>
      </c>
      <c r="D27" s="14">
        <v>219231</v>
      </c>
    </row>
    <row r="28" spans="2:15" x14ac:dyDescent="0.25">
      <c r="B28" s="16" t="s">
        <v>59</v>
      </c>
      <c r="C28" s="14">
        <v>399739</v>
      </c>
      <c r="D28" s="14">
        <v>222114</v>
      </c>
    </row>
    <row r="29" spans="2:15" x14ac:dyDescent="0.25">
      <c r="B29" s="16" t="s">
        <v>60</v>
      </c>
      <c r="C29" s="14"/>
      <c r="D29" s="14"/>
    </row>
    <row r="30" spans="2:15" x14ac:dyDescent="0.25">
      <c r="B30" s="18"/>
      <c r="C30" s="4"/>
      <c r="D30" s="4"/>
    </row>
    <row r="31" spans="2:15" x14ac:dyDescent="0.25">
      <c r="B31" s="18"/>
      <c r="C31" s="355" t="s">
        <v>48</v>
      </c>
      <c r="D31" s="355"/>
      <c r="E31" s="4"/>
    </row>
    <row r="32" spans="2:15" x14ac:dyDescent="0.25">
      <c r="C32" s="15" t="s">
        <v>61</v>
      </c>
      <c r="D32" s="15" t="s">
        <v>62</v>
      </c>
      <c r="O32" s="26"/>
    </row>
    <row r="33" spans="2:15" x14ac:dyDescent="0.25">
      <c r="B33" s="16" t="s">
        <v>67</v>
      </c>
      <c r="C33" s="14">
        <v>189524</v>
      </c>
      <c r="D33" s="14">
        <v>0</v>
      </c>
      <c r="H33" s="17"/>
      <c r="O33" s="26"/>
    </row>
    <row r="34" spans="2:15" x14ac:dyDescent="0.25">
      <c r="B34" s="16" t="s">
        <v>75</v>
      </c>
      <c r="C34" s="14">
        <v>385164</v>
      </c>
      <c r="D34" s="14">
        <v>4227</v>
      </c>
      <c r="O34" s="26"/>
    </row>
    <row r="35" spans="2:15" x14ac:dyDescent="0.25">
      <c r="B35" s="16" t="s">
        <v>76</v>
      </c>
      <c r="C35" s="14"/>
      <c r="D35" s="14"/>
      <c r="O35" s="26"/>
    </row>
    <row r="36" spans="2:15" x14ac:dyDescent="0.25">
      <c r="B36" s="16" t="s">
        <v>77</v>
      </c>
      <c r="C36" s="14"/>
      <c r="D36" s="14"/>
      <c r="H36" s="17"/>
      <c r="O36" s="26"/>
    </row>
    <row r="37" spans="2:15" x14ac:dyDescent="0.25">
      <c r="O37" s="26"/>
    </row>
    <row r="38" spans="2:15" x14ac:dyDescent="0.25">
      <c r="O38" s="26"/>
    </row>
    <row r="39" spans="2:15" x14ac:dyDescent="0.25">
      <c r="O39" s="26"/>
    </row>
    <row r="40" spans="2:15" x14ac:dyDescent="0.25">
      <c r="O40" s="26"/>
    </row>
    <row r="41" spans="2:15" x14ac:dyDescent="0.25">
      <c r="M41" s="27" t="s">
        <v>92</v>
      </c>
      <c r="O41" s="26"/>
    </row>
    <row r="42" spans="2:15" ht="15.75" thickBot="1" x14ac:dyDescent="0.3">
      <c r="L42" s="30"/>
      <c r="M42" s="30"/>
      <c r="N42" s="30"/>
      <c r="O42" s="41"/>
    </row>
    <row r="43" spans="2:15" ht="15.75" thickTop="1" x14ac:dyDescent="0.25"/>
  </sheetData>
  <mergeCells count="2">
    <mergeCell ref="C16:D16"/>
    <mergeCell ref="C31:D31"/>
  </mergeCells>
  <pageMargins left="1" right="0.7" top="0.75" bottom="0.75" header="0.3" footer="0.3"/>
  <pageSetup scale="77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8"/>
  <sheetViews>
    <sheetView showGridLines="0" workbookViewId="0">
      <selection activeCell="G8" sqref="G8"/>
    </sheetView>
  </sheetViews>
  <sheetFormatPr defaultRowHeight="15" x14ac:dyDescent="0.25"/>
  <cols>
    <col min="1" max="1" width="2.28515625" customWidth="1"/>
    <col min="2" max="2" width="19.28515625" customWidth="1"/>
    <col min="3" max="3" width="12.7109375" style="4" customWidth="1"/>
    <col min="4" max="4" width="9.7109375" style="49" customWidth="1"/>
    <col min="5" max="5" width="9.7109375" style="47" customWidth="1"/>
    <col min="6" max="7" width="12.7109375" style="4" customWidth="1"/>
    <col min="8" max="8" width="12.7109375" style="46" customWidth="1"/>
    <col min="9" max="9" width="9.7109375" style="5" customWidth="1"/>
    <col min="10" max="10" width="2.28515625" customWidth="1"/>
  </cols>
  <sheetData>
    <row r="1" spans="1:9" ht="15.75" thickTop="1" x14ac:dyDescent="0.25">
      <c r="A1" s="38"/>
      <c r="B1" s="40"/>
      <c r="C1" s="43"/>
      <c r="D1" s="48"/>
    </row>
    <row r="2" spans="1:9" ht="25.5" x14ac:dyDescent="0.35">
      <c r="A2" s="39"/>
      <c r="B2" s="37" t="s">
        <v>78</v>
      </c>
    </row>
    <row r="3" spans="1:9" x14ac:dyDescent="0.25">
      <c r="A3" s="39"/>
    </row>
    <row r="4" spans="1:9" x14ac:dyDescent="0.25">
      <c r="A4" s="39"/>
    </row>
    <row r="5" spans="1:9" x14ac:dyDescent="0.25">
      <c r="A5" s="39"/>
    </row>
    <row r="6" spans="1:9" s="2" customFormat="1" ht="30.75" customHeight="1" x14ac:dyDescent="0.25">
      <c r="A6" s="42"/>
      <c r="B6" s="54" t="s">
        <v>79</v>
      </c>
      <c r="C6" s="50" t="s">
        <v>80</v>
      </c>
      <c r="D6" s="51" t="s">
        <v>81</v>
      </c>
      <c r="E6" s="52" t="s">
        <v>83</v>
      </c>
      <c r="F6" s="50" t="s">
        <v>93</v>
      </c>
      <c r="G6" s="50" t="s">
        <v>94</v>
      </c>
      <c r="H6" s="53" t="s">
        <v>82</v>
      </c>
      <c r="I6" s="54" t="s">
        <v>84</v>
      </c>
    </row>
    <row r="7" spans="1:9" x14ac:dyDescent="0.25">
      <c r="A7" s="39"/>
      <c r="B7" s="78" t="s">
        <v>128</v>
      </c>
      <c r="C7" s="9"/>
      <c r="D7" s="79"/>
      <c r="E7" s="80">
        <v>40360</v>
      </c>
      <c r="F7" s="9">
        <v>31667</v>
      </c>
      <c r="G7" s="9">
        <v>380000</v>
      </c>
      <c r="H7" s="81"/>
      <c r="I7" s="82"/>
    </row>
    <row r="8" spans="1:9" x14ac:dyDescent="0.25">
      <c r="A8" s="39"/>
      <c r="B8" s="78"/>
      <c r="C8" s="9"/>
      <c r="D8" s="79"/>
      <c r="E8" s="80"/>
      <c r="F8" s="9"/>
      <c r="G8" s="9"/>
      <c r="H8" s="81"/>
      <c r="I8" s="82"/>
    </row>
    <row r="9" spans="1:9" x14ac:dyDescent="0.25">
      <c r="A9" s="39"/>
      <c r="B9" s="78"/>
      <c r="C9" s="9"/>
      <c r="D9" s="79"/>
      <c r="E9" s="80"/>
      <c r="F9" s="9"/>
      <c r="G9" s="9"/>
      <c r="H9" s="81"/>
      <c r="I9" s="82"/>
    </row>
    <row r="10" spans="1:9" x14ac:dyDescent="0.25">
      <c r="A10" s="39"/>
      <c r="B10" s="59"/>
      <c r="C10" s="7"/>
      <c r="D10" s="55"/>
      <c r="E10" s="56"/>
      <c r="F10" s="7"/>
      <c r="G10" s="7"/>
      <c r="H10" s="57"/>
      <c r="I10" s="58"/>
    </row>
    <row r="11" spans="1:9" x14ac:dyDescent="0.25">
      <c r="B11" s="59"/>
      <c r="C11" s="7"/>
      <c r="D11" s="55"/>
      <c r="E11" s="56"/>
      <c r="F11" s="7"/>
      <c r="G11" s="7"/>
      <c r="H11" s="57"/>
      <c r="I11" s="58"/>
    </row>
    <row r="12" spans="1:9" x14ac:dyDescent="0.25">
      <c r="B12" s="59"/>
      <c r="C12" s="7"/>
      <c r="D12" s="55"/>
      <c r="E12" s="56"/>
      <c r="F12" s="7"/>
      <c r="G12" s="7"/>
      <c r="H12" s="57"/>
      <c r="I12" s="58"/>
    </row>
    <row r="13" spans="1:9" x14ac:dyDescent="0.25">
      <c r="B13" s="78"/>
      <c r="C13" s="9"/>
      <c r="D13" s="79"/>
      <c r="E13" s="80"/>
      <c r="F13" s="9"/>
      <c r="G13" s="9"/>
      <c r="H13" s="81"/>
      <c r="I13" s="82"/>
    </row>
    <row r="14" spans="1:9" x14ac:dyDescent="0.25">
      <c r="B14" s="78"/>
      <c r="C14" s="9"/>
      <c r="D14" s="79"/>
      <c r="E14" s="80"/>
      <c r="F14" s="9"/>
      <c r="G14" s="9"/>
      <c r="H14" s="81"/>
      <c r="I14" s="82"/>
    </row>
    <row r="15" spans="1:9" x14ac:dyDescent="0.25">
      <c r="B15" s="78"/>
      <c r="C15" s="9"/>
      <c r="D15" s="79"/>
      <c r="E15" s="80"/>
      <c r="F15" s="9"/>
      <c r="G15" s="9"/>
      <c r="H15" s="81"/>
      <c r="I15" s="82"/>
    </row>
    <row r="16" spans="1:9" x14ac:dyDescent="0.25">
      <c r="B16" s="59"/>
      <c r="C16" s="7"/>
      <c r="D16" s="55"/>
      <c r="E16" s="56"/>
      <c r="F16" s="7"/>
      <c r="G16" s="7"/>
      <c r="H16" s="57"/>
      <c r="I16" s="58"/>
    </row>
    <row r="17" spans="2:10" x14ac:dyDescent="0.25">
      <c r="B17" s="59"/>
      <c r="C17" s="7"/>
      <c r="D17" s="55"/>
      <c r="E17" s="56"/>
      <c r="F17" s="7"/>
      <c r="G17" s="7"/>
      <c r="H17" s="57"/>
      <c r="I17" s="58"/>
      <c r="J17" s="26"/>
    </row>
    <row r="18" spans="2:10" x14ac:dyDescent="0.25">
      <c r="B18" s="59"/>
      <c r="C18" s="7"/>
      <c r="D18" s="55"/>
      <c r="E18" s="56"/>
      <c r="F18" s="7"/>
      <c r="G18" s="7"/>
      <c r="H18" s="57"/>
      <c r="I18" s="58"/>
      <c r="J18" s="26"/>
    </row>
    <row r="19" spans="2:10" x14ac:dyDescent="0.25">
      <c r="B19" s="78"/>
      <c r="C19" s="9"/>
      <c r="D19" s="79"/>
      <c r="E19" s="80"/>
      <c r="F19" s="9"/>
      <c r="G19" s="9"/>
      <c r="H19" s="81"/>
      <c r="I19" s="82"/>
      <c r="J19" s="26"/>
    </row>
    <row r="20" spans="2:10" x14ac:dyDescent="0.25">
      <c r="B20" s="78"/>
      <c r="C20" s="9"/>
      <c r="D20" s="79"/>
      <c r="E20" s="80"/>
      <c r="F20" s="9"/>
      <c r="G20" s="9"/>
      <c r="H20" s="81"/>
      <c r="I20" s="82"/>
      <c r="J20" s="26"/>
    </row>
    <row r="21" spans="2:10" x14ac:dyDescent="0.25">
      <c r="B21" s="78"/>
      <c r="C21" s="9"/>
      <c r="D21" s="79"/>
      <c r="E21" s="80"/>
      <c r="F21" s="9"/>
      <c r="G21" s="9"/>
      <c r="H21" s="81"/>
      <c r="I21" s="82"/>
      <c r="J21" s="26"/>
    </row>
    <row r="22" spans="2:10" x14ac:dyDescent="0.25">
      <c r="B22" s="59"/>
      <c r="C22" s="7"/>
      <c r="D22" s="55"/>
      <c r="E22" s="56"/>
      <c r="F22" s="7"/>
      <c r="G22" s="7"/>
      <c r="H22" s="57"/>
      <c r="I22" s="58"/>
      <c r="J22" s="26"/>
    </row>
    <row r="23" spans="2:10" x14ac:dyDescent="0.25">
      <c r="B23" s="60"/>
      <c r="C23" s="61"/>
      <c r="D23" s="62"/>
      <c r="E23" s="63"/>
      <c r="F23" s="61"/>
      <c r="G23" s="61"/>
      <c r="H23" s="64"/>
      <c r="I23" s="65"/>
      <c r="J23" s="26"/>
    </row>
    <row r="24" spans="2:10" x14ac:dyDescent="0.25">
      <c r="J24" s="26"/>
    </row>
    <row r="25" spans="2:10" x14ac:dyDescent="0.25">
      <c r="J25" s="26"/>
    </row>
    <row r="26" spans="2:10" x14ac:dyDescent="0.25">
      <c r="G26" s="27" t="s">
        <v>92</v>
      </c>
      <c r="J26" s="26"/>
    </row>
    <row r="27" spans="2:10" ht="15.75" thickBot="1" x14ac:dyDescent="0.3">
      <c r="G27" s="83"/>
      <c r="H27" s="84"/>
      <c r="I27" s="45"/>
      <c r="J27" s="41"/>
    </row>
    <row r="28" spans="2:10" ht="15.75" thickTop="1" x14ac:dyDescent="0.25"/>
  </sheetData>
  <printOptions horizontalCentered="1"/>
  <pageMargins left="1" right="0.7" top="1" bottom="0.75" header="0.3" footer="0.3"/>
  <pageSetup scale="11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U18"/>
  <sheetViews>
    <sheetView workbookViewId="0">
      <selection activeCell="C12" sqref="C12"/>
    </sheetView>
  </sheetViews>
  <sheetFormatPr defaultRowHeight="15" x14ac:dyDescent="0.25"/>
  <cols>
    <col min="1" max="1" width="2.7109375" customWidth="1"/>
    <col min="3" max="3" width="10.28515625" customWidth="1"/>
    <col min="4" max="4" width="9.85546875" bestFit="1" customWidth="1"/>
    <col min="5" max="5" width="2.28515625" customWidth="1"/>
    <col min="6" max="6" width="2.7109375" customWidth="1"/>
    <col min="7" max="7" width="12.28515625" bestFit="1" customWidth="1"/>
    <col min="8" max="19" width="9.7109375" customWidth="1"/>
    <col min="20" max="20" width="10.7109375" customWidth="1"/>
  </cols>
  <sheetData>
    <row r="1" spans="2:21" x14ac:dyDescent="0.25">
      <c r="B1" s="144" t="s">
        <v>160</v>
      </c>
      <c r="C1" s="144"/>
      <c r="D1" s="144"/>
      <c r="H1" s="144" t="s">
        <v>161</v>
      </c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</row>
    <row r="2" spans="2:21" x14ac:dyDescent="0.25">
      <c r="C2" s="264" t="s">
        <v>61</v>
      </c>
      <c r="D2" s="264" t="s">
        <v>62</v>
      </c>
      <c r="H2" s="5" t="s">
        <v>132</v>
      </c>
      <c r="I2" s="5" t="s">
        <v>133</v>
      </c>
      <c r="J2" s="5" t="s">
        <v>134</v>
      </c>
      <c r="K2" s="5" t="s">
        <v>135</v>
      </c>
      <c r="L2" s="5" t="s">
        <v>136</v>
      </c>
      <c r="M2" s="5" t="s">
        <v>137</v>
      </c>
      <c r="N2" s="5" t="s">
        <v>132</v>
      </c>
      <c r="O2" s="5" t="s">
        <v>138</v>
      </c>
      <c r="P2" s="5" t="s">
        <v>139</v>
      </c>
      <c r="Q2" s="5" t="s">
        <v>133</v>
      </c>
      <c r="R2" s="5" t="s">
        <v>139</v>
      </c>
      <c r="S2" s="5" t="s">
        <v>132</v>
      </c>
    </row>
    <row r="3" spans="2:21" x14ac:dyDescent="0.25">
      <c r="B3" t="s">
        <v>132</v>
      </c>
      <c r="C3" s="143">
        <v>1618091.61</v>
      </c>
      <c r="D3" s="143">
        <v>1359113.98</v>
      </c>
      <c r="G3" t="s">
        <v>159</v>
      </c>
      <c r="H3" s="146">
        <v>244732.4</v>
      </c>
      <c r="I3" s="146">
        <v>227047.33</v>
      </c>
      <c r="J3" s="146">
        <v>239417.69</v>
      </c>
      <c r="K3" s="146">
        <v>309358.40999999997</v>
      </c>
      <c r="L3" s="146">
        <v>297150.65000000002</v>
      </c>
      <c r="M3" s="146">
        <v>290498.33</v>
      </c>
      <c r="N3" s="146">
        <v>257478.24</v>
      </c>
      <c r="O3" s="146">
        <v>247898.35</v>
      </c>
      <c r="P3" s="146">
        <v>664451.68999999994</v>
      </c>
      <c r="Q3" s="146"/>
      <c r="R3" s="234"/>
      <c r="S3" s="146"/>
      <c r="T3" s="145">
        <f>SUM(H3:S3)</f>
        <v>2778033.09</v>
      </c>
      <c r="U3" s="13" t="s">
        <v>140</v>
      </c>
    </row>
    <row r="4" spans="2:21" x14ac:dyDescent="0.25">
      <c r="B4" t="s">
        <v>133</v>
      </c>
      <c r="C4" s="143">
        <v>1568533.9</v>
      </c>
      <c r="D4" s="143">
        <v>1345690.57</v>
      </c>
      <c r="G4" t="s">
        <v>1</v>
      </c>
      <c r="H4" s="146">
        <v>18678.29</v>
      </c>
      <c r="I4" s="146">
        <v>254490.09</v>
      </c>
      <c r="J4" s="146">
        <f>481948.84-153642.5</f>
        <v>328306.34000000003</v>
      </c>
      <c r="K4" s="146">
        <f>153642.5+109380.67</f>
        <v>263023.17</v>
      </c>
      <c r="L4" s="146">
        <v>276583.13</v>
      </c>
      <c r="M4" s="146">
        <v>441339.82</v>
      </c>
      <c r="N4" s="146">
        <v>72095.679999999993</v>
      </c>
      <c r="O4" s="146">
        <v>290497.65999999997</v>
      </c>
      <c r="P4" s="146">
        <v>251829.62</v>
      </c>
      <c r="Q4" s="146"/>
      <c r="R4" s="234"/>
      <c r="S4" s="146"/>
      <c r="T4" s="145">
        <f>SUM(H4:S4)</f>
        <v>2196843.7999999998</v>
      </c>
      <c r="U4" s="13" t="s">
        <v>140</v>
      </c>
    </row>
    <row r="5" spans="2:21" x14ac:dyDescent="0.25">
      <c r="B5" t="s">
        <v>134</v>
      </c>
      <c r="C5" s="143">
        <v>1468270.17</v>
      </c>
      <c r="D5" s="143">
        <v>1118887.6000000001</v>
      </c>
      <c r="G5" t="s">
        <v>183</v>
      </c>
      <c r="H5" s="145">
        <f>SUM(H3-H4)</f>
        <v>226054.11</v>
      </c>
      <c r="I5" s="145">
        <f>SUM(I3-I4)</f>
        <v>-27442.760000000009</v>
      </c>
      <c r="J5" s="145">
        <f t="shared" ref="J5:S5" si="0">SUM(J3-J4)</f>
        <v>-88888.650000000023</v>
      </c>
      <c r="K5" s="145">
        <f t="shared" si="0"/>
        <v>46335.239999999991</v>
      </c>
      <c r="L5" s="145">
        <f t="shared" si="0"/>
        <v>20567.520000000019</v>
      </c>
      <c r="M5" s="145">
        <f t="shared" si="0"/>
        <v>-150841.49</v>
      </c>
      <c r="N5" s="145">
        <f t="shared" si="0"/>
        <v>185382.56</v>
      </c>
      <c r="O5" s="145">
        <f t="shared" si="0"/>
        <v>-42599.309999999969</v>
      </c>
      <c r="P5" s="145">
        <f t="shared" si="0"/>
        <v>412622.06999999995</v>
      </c>
      <c r="Q5" s="145">
        <f t="shared" si="0"/>
        <v>0</v>
      </c>
      <c r="R5" s="145">
        <f>SUM(R3-R4)</f>
        <v>0</v>
      </c>
      <c r="S5" s="145">
        <f t="shared" si="0"/>
        <v>0</v>
      </c>
      <c r="T5" s="145">
        <f>SUM(T3-T4)</f>
        <v>581189.29</v>
      </c>
    </row>
    <row r="6" spans="2:21" x14ac:dyDescent="0.25">
      <c r="B6" t="s">
        <v>135</v>
      </c>
      <c r="C6" s="143">
        <v>1596485.3</v>
      </c>
      <c r="D6" s="143">
        <v>1231428</v>
      </c>
      <c r="J6" s="145"/>
      <c r="Q6" s="4"/>
      <c r="T6" s="145"/>
    </row>
    <row r="7" spans="2:21" x14ac:dyDescent="0.25">
      <c r="B7" t="s">
        <v>136</v>
      </c>
      <c r="C7" s="143">
        <v>1564517.84</v>
      </c>
      <c r="D7" s="143">
        <v>1273368.17</v>
      </c>
      <c r="H7" s="215"/>
      <c r="I7" s="215"/>
    </row>
    <row r="8" spans="2:21" x14ac:dyDescent="0.25">
      <c r="B8" t="s">
        <v>137</v>
      </c>
      <c r="C8" s="143">
        <v>1563357.14</v>
      </c>
      <c r="D8" s="143">
        <v>1276214.49</v>
      </c>
      <c r="H8" s="215"/>
      <c r="I8" s="215"/>
    </row>
    <row r="9" spans="2:21" x14ac:dyDescent="0.25">
      <c r="B9" t="s">
        <v>132</v>
      </c>
      <c r="C9" s="143">
        <v>1553798.14</v>
      </c>
      <c r="D9" s="143">
        <v>1318595.8400000001</v>
      </c>
      <c r="H9" s="215"/>
      <c r="I9" s="215"/>
    </row>
    <row r="10" spans="2:21" x14ac:dyDescent="0.25">
      <c r="B10" t="s">
        <v>138</v>
      </c>
      <c r="C10" s="143">
        <v>1542768.38</v>
      </c>
      <c r="D10" s="143">
        <v>1295966.3700000001</v>
      </c>
      <c r="H10" s="216"/>
      <c r="I10" s="216"/>
    </row>
    <row r="11" spans="2:21" x14ac:dyDescent="0.25">
      <c r="B11" t="s">
        <v>139</v>
      </c>
      <c r="C11" s="143">
        <v>1852117.32</v>
      </c>
      <c r="D11" s="143">
        <v>1287903.3400000001</v>
      </c>
      <c r="H11" s="215"/>
      <c r="I11" s="215"/>
      <c r="T11" s="4"/>
    </row>
    <row r="12" spans="2:21" x14ac:dyDescent="0.25">
      <c r="B12" t="s">
        <v>133</v>
      </c>
      <c r="C12" s="143"/>
      <c r="D12" s="143"/>
      <c r="H12" s="215"/>
      <c r="I12" s="215"/>
    </row>
    <row r="13" spans="2:21" x14ac:dyDescent="0.25">
      <c r="B13" t="s">
        <v>139</v>
      </c>
      <c r="C13" s="143"/>
      <c r="D13" s="143"/>
      <c r="H13" s="216"/>
      <c r="I13" s="216"/>
    </row>
    <row r="14" spans="2:21" x14ac:dyDescent="0.25">
      <c r="B14" t="s">
        <v>132</v>
      </c>
      <c r="C14" s="143"/>
      <c r="D14" s="143"/>
      <c r="J14" s="225"/>
    </row>
    <row r="18" spans="8:8" x14ac:dyDescent="0.25">
      <c r="H18" s="213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Summary</vt:lpstr>
      <vt:lpstr>Budget Detail</vt:lpstr>
      <vt:lpstr>ESSER</vt:lpstr>
      <vt:lpstr>WPU</vt:lpstr>
      <vt:lpstr>Statistics</vt:lpstr>
      <vt:lpstr>Statistics 2</vt:lpstr>
      <vt:lpstr>Cash Flow</vt:lpstr>
      <vt:lpstr>Debt-Leases-Obligations</vt:lpstr>
      <vt:lpstr>Summary support</vt:lpstr>
      <vt:lpstr>'Budget Detail'!Print_Area</vt:lpstr>
      <vt:lpstr>Summary!Print_Area</vt:lpstr>
      <vt:lpstr>'Budget Detail'!Print_Titles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Haydn Stender</cp:lastModifiedBy>
  <cp:lastPrinted>2025-05-14T23:34:15Z</cp:lastPrinted>
  <dcterms:created xsi:type="dcterms:W3CDTF">2010-09-23T04:43:17Z</dcterms:created>
  <dcterms:modified xsi:type="dcterms:W3CDTF">2026-04-06T16:31:55Z</dcterms:modified>
</cp:coreProperties>
</file>